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eene\Desktop\Keene's Staff Reports\CY 2016\June 2016\"/>
    </mc:Choice>
  </mc:AlternateContent>
  <bookViews>
    <workbookView xWindow="120" yWindow="120" windowWidth="5100" windowHeight="11985"/>
  </bookViews>
  <sheets>
    <sheet name="2016-17 Proposed Budget" sheetId="1" r:id="rId1"/>
    <sheet name="Sheet1" sheetId="13" r:id="rId2"/>
    <sheet name="16-17 Salaries Benefits" sheetId="6" r:id="rId3"/>
    <sheet name="16-17 Adminstrative Costs" sheetId="8" r:id="rId4"/>
    <sheet name="16-17 Services Supplies" sheetId="7" r:id="rId5"/>
    <sheet name="Allocations" sheetId="12" r:id="rId6"/>
    <sheet name="Past Marin LAFCO Budgets" sheetId="11" r:id="rId7"/>
    <sheet name="BayAreaLAFCO-Comparison" sheetId="10" r:id="rId8"/>
  </sheets>
  <calcPr calcId="152511"/>
</workbook>
</file>

<file path=xl/calcChain.xml><?xml version="1.0" encoding="utf-8"?>
<calcChain xmlns="http://schemas.openxmlformats.org/spreadsheetml/2006/main">
  <c r="Y21" i="1" l="1"/>
  <c r="Y48" i="1"/>
  <c r="Y32" i="1"/>
  <c r="S56" i="1"/>
  <c r="S32" i="1"/>
  <c r="S21" i="1"/>
  <c r="S19" i="1"/>
  <c r="J53" i="7"/>
  <c r="B23" i="8"/>
  <c r="D17" i="7"/>
  <c r="S54" i="1"/>
  <c r="A47" i="6"/>
  <c r="S14" i="1" l="1"/>
  <c r="E96" i="1"/>
  <c r="H96" i="1"/>
  <c r="Q48" i="1"/>
  <c r="Q21" i="1"/>
  <c r="Q32" i="1"/>
  <c r="K14" i="12" l="1"/>
  <c r="E32" i="13" l="1"/>
  <c r="E33" i="13"/>
  <c r="E12" i="12" l="1"/>
  <c r="G12" i="12" s="1"/>
  <c r="C44" i="12"/>
  <c r="G15" i="12" s="1"/>
  <c r="E15" i="12" s="1"/>
  <c r="C67" i="12"/>
  <c r="G57" i="12" s="1"/>
  <c r="E57" i="12" s="1"/>
  <c r="G40" i="12" l="1"/>
  <c r="E40" i="12" s="1"/>
  <c r="G30" i="12"/>
  <c r="E30" i="12" s="1"/>
  <c r="G18" i="12"/>
  <c r="E18" i="12" s="1"/>
  <c r="G38" i="12"/>
  <c r="E38" i="12" s="1"/>
  <c r="G16" i="12"/>
  <c r="E16" i="12" s="1"/>
  <c r="G26" i="12"/>
  <c r="E26" i="12" s="1"/>
  <c r="G34" i="12"/>
  <c r="E34" i="12" s="1"/>
  <c r="G24" i="12"/>
  <c r="E24" i="12" s="1"/>
  <c r="G14" i="12"/>
  <c r="G42" i="12"/>
  <c r="E42" i="12" s="1"/>
  <c r="G32" i="12"/>
  <c r="E32" i="12" s="1"/>
  <c r="G22" i="12"/>
  <c r="E22" i="12" s="1"/>
  <c r="G36" i="12"/>
  <c r="E36" i="12" s="1"/>
  <c r="G28" i="12"/>
  <c r="E28" i="12" s="1"/>
  <c r="G20" i="12"/>
  <c r="E20" i="12" s="1"/>
  <c r="G64" i="12"/>
  <c r="E64" i="12" s="1"/>
  <c r="G60" i="12"/>
  <c r="E60" i="12" s="1"/>
  <c r="G58" i="12"/>
  <c r="E58" i="12" s="1"/>
  <c r="G56" i="12"/>
  <c r="E14" i="12"/>
  <c r="G66" i="12"/>
  <c r="E66" i="12" s="1"/>
  <c r="G62" i="12"/>
  <c r="E62" i="12" s="1"/>
  <c r="G43" i="12"/>
  <c r="E43" i="12" s="1"/>
  <c r="G41" i="12"/>
  <c r="E41" i="12" s="1"/>
  <c r="G39" i="12"/>
  <c r="E39" i="12" s="1"/>
  <c r="G37" i="12"/>
  <c r="E37" i="12" s="1"/>
  <c r="G35" i="12"/>
  <c r="E35" i="12" s="1"/>
  <c r="G33" i="12"/>
  <c r="E33" i="12" s="1"/>
  <c r="G31" i="12"/>
  <c r="E31" i="12" s="1"/>
  <c r="G29" i="12"/>
  <c r="E29" i="12" s="1"/>
  <c r="G27" i="12"/>
  <c r="E27" i="12" s="1"/>
  <c r="G25" i="12"/>
  <c r="E25" i="12" s="1"/>
  <c r="G23" i="12"/>
  <c r="E23" i="12" s="1"/>
  <c r="G21" i="12"/>
  <c r="E21" i="12" s="1"/>
  <c r="G19" i="12"/>
  <c r="E19" i="12" s="1"/>
  <c r="G17" i="12"/>
  <c r="E17" i="12" s="1"/>
  <c r="G65" i="12"/>
  <c r="E65" i="12" s="1"/>
  <c r="G63" i="12"/>
  <c r="E63" i="12" s="1"/>
  <c r="G61" i="12"/>
  <c r="E61" i="12" s="1"/>
  <c r="G59" i="12"/>
  <c r="E59" i="12" s="1"/>
  <c r="G44" i="6"/>
  <c r="S20" i="1"/>
  <c r="G17" i="6"/>
  <c r="H17" i="6"/>
  <c r="I17" i="6" s="1"/>
  <c r="G18" i="6"/>
  <c r="G20" i="6" s="1"/>
  <c r="H18" i="6"/>
  <c r="I18" i="6" s="1"/>
  <c r="G19" i="6"/>
  <c r="H19" i="6"/>
  <c r="I19" i="6" s="1"/>
  <c r="G26" i="6"/>
  <c r="H26" i="6"/>
  <c r="I26" i="6"/>
  <c r="G27" i="6"/>
  <c r="G29" i="6" s="1"/>
  <c r="H27" i="6"/>
  <c r="I27" i="6" s="1"/>
  <c r="I29" i="6" s="1"/>
  <c r="G28" i="6"/>
  <c r="H28" i="6"/>
  <c r="I28" i="6" s="1"/>
  <c r="E44" i="12" l="1"/>
  <c r="E56" i="12"/>
  <c r="E67" i="12" s="1"/>
  <c r="G67" i="12"/>
  <c r="G44" i="12"/>
  <c r="I20" i="6"/>
  <c r="H20" i="6"/>
  <c r="H29" i="6"/>
  <c r="B63" i="8"/>
  <c r="E71" i="12" l="1"/>
  <c r="O42" i="12"/>
  <c r="O67" i="12"/>
  <c r="I42" i="12"/>
  <c r="I44" i="12" s="1"/>
  <c r="K12" i="12"/>
  <c r="I67" i="12"/>
  <c r="M12" i="12" l="1"/>
  <c r="M65" i="12"/>
  <c r="K65" i="12" s="1"/>
  <c r="M56" i="12"/>
  <c r="K56" i="12" s="1"/>
  <c r="S63" i="12"/>
  <c r="S56" i="12"/>
  <c r="S60" i="12"/>
  <c r="S64" i="12"/>
  <c r="M43" i="12"/>
  <c r="K43" i="12" s="1"/>
  <c r="M27" i="12"/>
  <c r="K27" i="12" s="1"/>
  <c r="M14" i="12"/>
  <c r="M39" i="12"/>
  <c r="K39" i="12" s="1"/>
  <c r="M23" i="12"/>
  <c r="K23" i="12" s="1"/>
  <c r="M35" i="12"/>
  <c r="K35" i="12" s="1"/>
  <c r="M19" i="12"/>
  <c r="K19" i="12" s="1"/>
  <c r="M31" i="12"/>
  <c r="K31" i="12" s="1"/>
  <c r="M15" i="12"/>
  <c r="K15" i="12" s="1"/>
  <c r="S61" i="12"/>
  <c r="S65" i="12"/>
  <c r="S57" i="12"/>
  <c r="S58" i="12"/>
  <c r="S62" i="12"/>
  <c r="S66" i="12"/>
  <c r="O44" i="12"/>
  <c r="S42" i="12" s="1"/>
  <c r="S59" i="12"/>
  <c r="M16" i="12"/>
  <c r="K16" i="12" s="1"/>
  <c r="M20" i="12"/>
  <c r="K20" i="12" s="1"/>
  <c r="M24" i="12"/>
  <c r="K24" i="12" s="1"/>
  <c r="M28" i="12"/>
  <c r="K28" i="12" s="1"/>
  <c r="M32" i="12"/>
  <c r="K32" i="12" s="1"/>
  <c r="M36" i="12"/>
  <c r="K36" i="12" s="1"/>
  <c r="M40" i="12"/>
  <c r="K40" i="12" s="1"/>
  <c r="M17" i="12"/>
  <c r="K17" i="12" s="1"/>
  <c r="M21" i="12"/>
  <c r="K21" i="12" s="1"/>
  <c r="M25" i="12"/>
  <c r="K25" i="12" s="1"/>
  <c r="M29" i="12"/>
  <c r="K29" i="12" s="1"/>
  <c r="M33" i="12"/>
  <c r="K33" i="12" s="1"/>
  <c r="M37" i="12"/>
  <c r="K37" i="12" s="1"/>
  <c r="M41" i="12"/>
  <c r="K41" i="12" s="1"/>
  <c r="M18" i="12"/>
  <c r="K18" i="12" s="1"/>
  <c r="M22" i="12"/>
  <c r="K22" i="12" s="1"/>
  <c r="M26" i="12"/>
  <c r="K26" i="12" s="1"/>
  <c r="M30" i="12"/>
  <c r="K30" i="12" s="1"/>
  <c r="M34" i="12"/>
  <c r="K34" i="12" s="1"/>
  <c r="M38" i="12"/>
  <c r="K38" i="12" s="1"/>
  <c r="M58" i="12"/>
  <c r="K58" i="12" s="1"/>
  <c r="M62" i="12"/>
  <c r="K62" i="12" s="1"/>
  <c r="M66" i="12"/>
  <c r="K66" i="12" s="1"/>
  <c r="M59" i="12"/>
  <c r="K59" i="12" s="1"/>
  <c r="M63" i="12"/>
  <c r="K63" i="12" s="1"/>
  <c r="M60" i="12"/>
  <c r="K60" i="12" s="1"/>
  <c r="M64" i="12"/>
  <c r="K64" i="12" s="1"/>
  <c r="M57" i="12"/>
  <c r="K57" i="12" s="1"/>
  <c r="M61" i="12"/>
  <c r="K61" i="12" s="1"/>
  <c r="H8" i="11"/>
  <c r="F7" i="11"/>
  <c r="H15" i="11"/>
  <c r="D48" i="1"/>
  <c r="D32" i="1"/>
  <c r="D21" i="1"/>
  <c r="E80" i="8"/>
  <c r="B44" i="8"/>
  <c r="B47" i="8"/>
  <c r="B58" i="7"/>
  <c r="B9" i="8"/>
  <c r="S67" i="12" l="1"/>
  <c r="K44" i="12"/>
  <c r="S31" i="12"/>
  <c r="S40" i="12"/>
  <c r="S36" i="12"/>
  <c r="S32" i="12"/>
  <c r="S27" i="12"/>
  <c r="S23" i="12"/>
  <c r="S19" i="12"/>
  <c r="S15" i="12"/>
  <c r="S18" i="12"/>
  <c r="S38" i="12"/>
  <c r="S29" i="12"/>
  <c r="S21" i="12"/>
  <c r="S41" i="12"/>
  <c r="S37" i="12"/>
  <c r="S28" i="12"/>
  <c r="S20" i="12"/>
  <c r="S43" i="12"/>
  <c r="S39" i="12"/>
  <c r="S35" i="12"/>
  <c r="S30" i="12"/>
  <c r="S26" i="12"/>
  <c r="S22" i="12"/>
  <c r="S14" i="12"/>
  <c r="S34" i="12"/>
  <c r="S25" i="12"/>
  <c r="S17" i="12"/>
  <c r="S33" i="12"/>
  <c r="S24" i="12"/>
  <c r="S16" i="12"/>
  <c r="M44" i="12"/>
  <c r="M67" i="12"/>
  <c r="K67" i="12" s="1"/>
  <c r="B50" i="7"/>
  <c r="D43" i="7"/>
  <c r="F6" i="7"/>
  <c r="E41" i="6"/>
  <c r="B41" i="6"/>
  <c r="C41" i="6"/>
  <c r="F40" i="6"/>
  <c r="C39" i="6"/>
  <c r="B25" i="7"/>
  <c r="J35" i="7"/>
  <c r="B6" i="8"/>
  <c r="K71" i="12" l="1"/>
  <c r="S44" i="12"/>
  <c r="J58" i="7"/>
  <c r="B73" i="8"/>
  <c r="E14" i="8"/>
  <c r="D50" i="7"/>
  <c r="B60" i="8"/>
  <c r="H9" i="6"/>
  <c r="H8" i="6"/>
  <c r="H7" i="6"/>
  <c r="B76" i="8"/>
  <c r="J70" i="7" l="1"/>
  <c r="S46" i="1" s="1"/>
  <c r="C9" i="6"/>
  <c r="P48" i="1"/>
  <c r="E34" i="13" s="1"/>
  <c r="W78" i="1"/>
  <c r="U77" i="1"/>
  <c r="W77" i="1" s="1"/>
  <c r="Q56" i="1" l="1"/>
  <c r="Q89" i="1" s="1"/>
  <c r="Q96" i="1" s="1"/>
  <c r="Q16" i="10"/>
  <c r="S16" i="10" l="1"/>
  <c r="E16" i="10"/>
  <c r="K16" i="10"/>
  <c r="M16" i="10"/>
  <c r="O16" i="10"/>
  <c r="H19" i="11"/>
  <c r="F19" i="11"/>
  <c r="F20" i="11"/>
  <c r="H20" i="11" s="1"/>
  <c r="F21" i="11"/>
  <c r="H21" i="11" s="1"/>
  <c r="S84" i="1"/>
  <c r="S79" i="1"/>
  <c r="U79" i="1" s="1"/>
  <c r="W79" i="1" s="1"/>
  <c r="S47" i="1"/>
  <c r="U47" i="1" s="1"/>
  <c r="W47" i="1" s="1"/>
  <c r="J64" i="7"/>
  <c r="S45" i="1" s="1"/>
  <c r="U45" i="1" s="1"/>
  <c r="W45" i="1" s="1"/>
  <c r="B38" i="7"/>
  <c r="B35" i="7"/>
  <c r="J10" i="7"/>
  <c r="S38" i="1" s="1"/>
  <c r="U38" i="1" s="1"/>
  <c r="W38" i="1" s="1"/>
  <c r="B66" i="8"/>
  <c r="B50" i="8"/>
  <c r="B19" i="8"/>
  <c r="E52" i="8" l="1"/>
  <c r="S29" i="1" s="1"/>
  <c r="U29" i="1" s="1"/>
  <c r="W29" i="1" s="1"/>
  <c r="U19" i="1"/>
  <c r="W19" i="1" s="1"/>
  <c r="S18" i="1"/>
  <c r="U18" i="1" s="1"/>
  <c r="W18" i="1" s="1"/>
  <c r="D41" i="6"/>
  <c r="D39" i="6"/>
  <c r="B39" i="6"/>
  <c r="G40" i="6"/>
  <c r="G41" i="6" l="1"/>
  <c r="D42" i="6"/>
  <c r="B42" i="6"/>
  <c r="F42" i="6"/>
  <c r="E7" i="6" l="1"/>
  <c r="G8" i="6"/>
  <c r="G7" i="6"/>
  <c r="I7" i="6" s="1"/>
  <c r="B31" i="6" s="1"/>
  <c r="G9" i="6"/>
  <c r="P56" i="1"/>
  <c r="N79" i="1"/>
  <c r="N73" i="1"/>
  <c r="N48" i="1"/>
  <c r="N32" i="1"/>
  <c r="N21" i="1"/>
  <c r="P89" i="1" l="1"/>
  <c r="P98" i="1"/>
  <c r="K72" i="1" l="1"/>
  <c r="K71" i="1"/>
  <c r="K70" i="1"/>
  <c r="H72" i="1"/>
  <c r="H71" i="1"/>
  <c r="H70" i="1"/>
  <c r="E31" i="6" l="1"/>
  <c r="F18" i="11" l="1"/>
  <c r="H18" i="11" s="1"/>
  <c r="F17" i="11"/>
  <c r="H17" i="11" s="1"/>
  <c r="F16" i="11"/>
  <c r="H16" i="11" s="1"/>
  <c r="F15" i="1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F8" i="11"/>
  <c r="H7" i="11"/>
  <c r="I14" i="10"/>
  <c r="I10" i="10"/>
  <c r="I7" i="10"/>
  <c r="I13" i="10"/>
  <c r="I11" i="10"/>
  <c r="I12" i="10"/>
  <c r="I8" i="10"/>
  <c r="I9" i="10"/>
  <c r="B31" i="8"/>
  <c r="H50" i="7"/>
  <c r="I16" i="10" l="1"/>
  <c r="S26" i="1"/>
  <c r="S31" i="1"/>
  <c r="U31" i="1" s="1"/>
  <c r="W31" i="1" s="1"/>
  <c r="B57" i="8"/>
  <c r="E68" i="8" s="1"/>
  <c r="S30" i="1" s="1"/>
  <c r="U30" i="1" s="1"/>
  <c r="W30" i="1" s="1"/>
  <c r="B37" i="8"/>
  <c r="B34" i="8"/>
  <c r="M48" i="1"/>
  <c r="D34" i="13" s="1"/>
  <c r="U46" i="1"/>
  <c r="W46" i="1" s="1"/>
  <c r="S44" i="1"/>
  <c r="U44" i="1" s="1"/>
  <c r="W44" i="1" s="1"/>
  <c r="S43" i="1"/>
  <c r="F32" i="7"/>
  <c r="B32" i="7"/>
  <c r="J26" i="7"/>
  <c r="S39" i="1" s="1"/>
  <c r="U39" i="1" s="1"/>
  <c r="W39" i="1" s="1"/>
  <c r="J18" i="7"/>
  <c r="S37" i="1" s="1"/>
  <c r="E39" i="6"/>
  <c r="E42" i="6" s="1"/>
  <c r="U37" i="1" l="1"/>
  <c r="W37" i="1" s="1"/>
  <c r="U43" i="1"/>
  <c r="W43" i="1" s="1"/>
  <c r="J37" i="7"/>
  <c r="S40" i="1" s="1"/>
  <c r="U40" i="1" s="1"/>
  <c r="W40" i="1" s="1"/>
  <c r="U26" i="1"/>
  <c r="W26" i="1" s="1"/>
  <c r="C42" i="6"/>
  <c r="G39" i="6"/>
  <c r="G42" i="6" s="1"/>
  <c r="C26" i="6"/>
  <c r="E39" i="8"/>
  <c r="S28" i="1" s="1"/>
  <c r="U28" i="1" s="1"/>
  <c r="W28" i="1" s="1"/>
  <c r="E26" i="8"/>
  <c r="S27" i="1" s="1"/>
  <c r="U27" i="1" s="1"/>
  <c r="W27" i="1" s="1"/>
  <c r="J45" i="7"/>
  <c r="S42" i="1" s="1"/>
  <c r="U42" i="1" s="1"/>
  <c r="W42" i="1" s="1"/>
  <c r="D11" i="6"/>
  <c r="H11" i="6"/>
  <c r="C11" i="6"/>
  <c r="I9" i="6"/>
  <c r="B33" i="6" s="1"/>
  <c r="I8" i="6"/>
  <c r="E9" i="6"/>
  <c r="E8" i="6"/>
  <c r="B32" i="6" l="1"/>
  <c r="E32" i="6" s="1"/>
  <c r="S48" i="1"/>
  <c r="F34" i="13" s="1"/>
  <c r="U20" i="1"/>
  <c r="W20" i="1" s="1"/>
  <c r="S16" i="1"/>
  <c r="U16" i="1" s="1"/>
  <c r="W16" i="1" s="1"/>
  <c r="F33" i="13"/>
  <c r="E33" i="6"/>
  <c r="I11" i="6"/>
  <c r="B16" i="6" s="1"/>
  <c r="C16" i="6" s="1"/>
  <c r="G11" i="6"/>
  <c r="E11" i="6"/>
  <c r="N84" i="1"/>
  <c r="U32" i="1" l="1"/>
  <c r="W32" i="1" s="1"/>
  <c r="E34" i="6"/>
  <c r="S15" i="1" s="1"/>
  <c r="U15" i="1" s="1"/>
  <c r="W15" i="1" s="1"/>
  <c r="U48" i="1"/>
  <c r="W48" i="1" s="1"/>
  <c r="N86" i="1"/>
  <c r="N56" i="1"/>
  <c r="S17" i="1"/>
  <c r="U17" i="1" s="1"/>
  <c r="W17" i="1" s="1"/>
  <c r="F32" i="13" l="1"/>
  <c r="U14" i="1"/>
  <c r="W14" i="1" s="1"/>
  <c r="N89" i="1"/>
  <c r="S69" i="1" l="1"/>
  <c r="U21" i="1"/>
  <c r="W21" i="1" s="1"/>
  <c r="S98" i="1" l="1"/>
  <c r="S58" i="1"/>
  <c r="D23" i="11"/>
  <c r="F23" i="11" s="1"/>
  <c r="H23" i="11" s="1"/>
  <c r="S52" i="12"/>
  <c r="S6" i="12"/>
  <c r="U56" i="1"/>
  <c r="W56" i="1" s="1"/>
  <c r="Q14" i="12" l="1"/>
  <c r="U14" i="12" s="1"/>
  <c r="V14" i="12" s="1"/>
  <c r="Q12" i="12"/>
  <c r="U12" i="12" s="1"/>
  <c r="V12" i="12" s="1"/>
  <c r="Q60" i="12"/>
  <c r="Q42" i="12"/>
  <c r="U42" i="12" s="1"/>
  <c r="V42" i="12" s="1"/>
  <c r="Q65" i="12"/>
  <c r="U65" i="12" s="1"/>
  <c r="V65" i="12" s="1"/>
  <c r="Q59" i="12"/>
  <c r="U59" i="12" s="1"/>
  <c r="V59" i="12" s="1"/>
  <c r="Q63" i="12"/>
  <c r="U63" i="12" s="1"/>
  <c r="V63" i="12" s="1"/>
  <c r="Q66" i="12"/>
  <c r="U66" i="12" s="1"/>
  <c r="V66" i="12" s="1"/>
  <c r="Q58" i="12"/>
  <c r="U58" i="12" s="1"/>
  <c r="V58" i="12" s="1"/>
  <c r="Q56" i="12"/>
  <c r="U56" i="12" s="1"/>
  <c r="V56" i="12" s="1"/>
  <c r="Q64" i="12"/>
  <c r="Q61" i="12"/>
  <c r="Q62" i="12"/>
  <c r="U62" i="12" s="1"/>
  <c r="V62" i="12" s="1"/>
  <c r="Q57" i="12"/>
  <c r="Q35" i="12"/>
  <c r="Q37" i="12"/>
  <c r="U37" i="12" s="1"/>
  <c r="V37" i="12" s="1"/>
  <c r="Q43" i="12"/>
  <c r="U43" i="12" s="1"/>
  <c r="V43" i="12" s="1"/>
  <c r="Q31" i="12"/>
  <c r="U31" i="12" s="1"/>
  <c r="V31" i="12" s="1"/>
  <c r="Q17" i="12"/>
  <c r="U17" i="12" s="1"/>
  <c r="V17" i="12" s="1"/>
  <c r="Q40" i="12"/>
  <c r="U40" i="12" s="1"/>
  <c r="V40" i="12" s="1"/>
  <c r="Q20" i="12"/>
  <c r="U20" i="12" s="1"/>
  <c r="V20" i="12" s="1"/>
  <c r="Q38" i="12"/>
  <c r="Q22" i="12"/>
  <c r="Q27" i="12"/>
  <c r="U27" i="12" s="1"/>
  <c r="V27" i="12" s="1"/>
  <c r="Q23" i="12"/>
  <c r="U23" i="12" s="1"/>
  <c r="V23" i="12" s="1"/>
  <c r="Q32" i="12"/>
  <c r="U32" i="12" s="1"/>
  <c r="V32" i="12" s="1"/>
  <c r="Q29" i="12"/>
  <c r="U29" i="12" s="1"/>
  <c r="V29" i="12" s="1"/>
  <c r="Q16" i="12"/>
  <c r="U16" i="12" s="1"/>
  <c r="V16" i="12" s="1"/>
  <c r="Q41" i="12"/>
  <c r="U41" i="12" s="1"/>
  <c r="V41" i="12" s="1"/>
  <c r="Q33" i="12"/>
  <c r="Q39" i="12"/>
  <c r="Q24" i="12"/>
  <c r="U24" i="12" s="1"/>
  <c r="V24" i="12" s="1"/>
  <c r="Q21" i="12"/>
  <c r="U21" i="12" s="1"/>
  <c r="V21" i="12" s="1"/>
  <c r="Q36" i="12"/>
  <c r="U36" i="12" s="1"/>
  <c r="V36" i="12" s="1"/>
  <c r="Q25" i="12"/>
  <c r="U25" i="12" s="1"/>
  <c r="V25" i="12" s="1"/>
  <c r="Q18" i="12"/>
  <c r="U18" i="12" s="1"/>
  <c r="V18" i="12" s="1"/>
  <c r="Q28" i="12"/>
  <c r="U28" i="12" s="1"/>
  <c r="V28" i="12" s="1"/>
  <c r="Q34" i="12"/>
  <c r="U34" i="12" s="1"/>
  <c r="V34" i="12" s="1"/>
  <c r="Q15" i="12"/>
  <c r="U15" i="12" s="1"/>
  <c r="V15" i="12" s="1"/>
  <c r="Q26" i="12"/>
  <c r="U26" i="12" s="1"/>
  <c r="V26" i="12" s="1"/>
  <c r="Q19" i="12"/>
  <c r="U19" i="12" s="1"/>
  <c r="V19" i="12" s="1"/>
  <c r="Q30" i="12"/>
  <c r="U30" i="12" s="1"/>
  <c r="V30" i="12" s="1"/>
  <c r="S73" i="1"/>
  <c r="S86" i="1" s="1"/>
  <c r="U86" i="1" s="1"/>
  <c r="W86" i="1" s="1"/>
  <c r="S71" i="1"/>
  <c r="U71" i="1" s="1"/>
  <c r="W71" i="1" s="1"/>
  <c r="S72" i="1"/>
  <c r="U72" i="1" s="1"/>
  <c r="W72" i="1" s="1"/>
  <c r="U69" i="1"/>
  <c r="W69" i="1" s="1"/>
  <c r="S70" i="1"/>
  <c r="U70" i="1" s="1"/>
  <c r="W70" i="1" s="1"/>
  <c r="Z16" i="12" l="1"/>
  <c r="Z23" i="12"/>
  <c r="U39" i="12"/>
  <c r="V39" i="12" s="1"/>
  <c r="Z17" i="12"/>
  <c r="U64" i="12"/>
  <c r="V64" i="12" s="1"/>
  <c r="Z25" i="12"/>
  <c r="U33" i="12"/>
  <c r="V33" i="12" s="1"/>
  <c r="Z18" i="12"/>
  <c r="U38" i="12"/>
  <c r="V38" i="12" s="1"/>
  <c r="Z24" i="12"/>
  <c r="U57" i="12"/>
  <c r="V57" i="12" s="1"/>
  <c r="Z20" i="12"/>
  <c r="U60" i="12"/>
  <c r="V60" i="12" s="1"/>
  <c r="Z21" i="12"/>
  <c r="U22" i="12"/>
  <c r="V22" i="12" s="1"/>
  <c r="Z22" i="12"/>
  <c r="U35" i="12"/>
  <c r="V35" i="12" s="1"/>
  <c r="Z19" i="12"/>
  <c r="U61" i="12"/>
  <c r="V61" i="12" s="1"/>
  <c r="S12" i="12"/>
  <c r="Q44" i="12"/>
  <c r="Q67" i="12"/>
  <c r="U73" i="1"/>
  <c r="W73" i="1" s="1"/>
  <c r="Z26" i="12" l="1"/>
  <c r="Q71" i="12"/>
  <c r="S89" i="1"/>
  <c r="S96" i="1" s="1"/>
  <c r="M84" i="1" l="1"/>
  <c r="K21" i="1" l="1"/>
  <c r="J21" i="1"/>
  <c r="D72" i="1" l="1"/>
  <c r="D71" i="1"/>
  <c r="D70" i="1"/>
  <c r="J70" i="1"/>
  <c r="J71" i="1"/>
  <c r="J72" i="1"/>
  <c r="M32" i="1" l="1"/>
  <c r="D33" i="13" s="1"/>
  <c r="M21" i="1"/>
  <c r="D32" i="13" s="1"/>
  <c r="M56" i="1" l="1"/>
  <c r="D79" i="1"/>
  <c r="D73" i="1"/>
  <c r="E79" i="1"/>
  <c r="E73" i="1"/>
  <c r="E48" i="1"/>
  <c r="E32" i="1"/>
  <c r="E21" i="1"/>
  <c r="H79" i="1"/>
  <c r="H73" i="1"/>
  <c r="H32" i="1"/>
  <c r="H48" i="1"/>
  <c r="H21" i="1"/>
  <c r="K73" i="1"/>
  <c r="K79" i="1"/>
  <c r="K48" i="1"/>
  <c r="K32" i="1"/>
  <c r="M98" i="1" l="1"/>
  <c r="P58" i="1"/>
  <c r="H86" i="1"/>
  <c r="H56" i="1"/>
  <c r="E86" i="1"/>
  <c r="D86" i="1"/>
  <c r="K86" i="1"/>
  <c r="K56" i="1"/>
  <c r="M79" i="1"/>
  <c r="J79" i="1"/>
  <c r="G79" i="1"/>
  <c r="M73" i="1"/>
  <c r="J73" i="1"/>
  <c r="G73" i="1"/>
  <c r="M72" i="1"/>
  <c r="M71" i="1"/>
  <c r="M70" i="1"/>
  <c r="G72" i="1"/>
  <c r="G71" i="1"/>
  <c r="G70" i="1"/>
  <c r="J48" i="1"/>
  <c r="G48" i="1"/>
  <c r="J32" i="1"/>
  <c r="G32" i="1"/>
  <c r="G21" i="1"/>
  <c r="D54" i="1"/>
  <c r="D56" i="1" s="1"/>
  <c r="G56" i="1" l="1"/>
  <c r="D98" i="1"/>
  <c r="G58" i="1"/>
  <c r="H89" i="1"/>
  <c r="M86" i="1"/>
  <c r="D89" i="1"/>
  <c r="J56" i="1"/>
  <c r="K89" i="1"/>
  <c r="G86" i="1"/>
  <c r="J86" i="1"/>
  <c r="G98" i="1"/>
  <c r="G54" i="1"/>
  <c r="H54" i="1"/>
  <c r="E54" i="1"/>
  <c r="E56" i="1" s="1"/>
  <c r="E89" i="1" s="1"/>
  <c r="J98" i="1" l="1"/>
  <c r="M58" i="1"/>
  <c r="J58" i="1"/>
  <c r="J89" i="1"/>
  <c r="G89" i="1"/>
</calcChain>
</file>

<file path=xl/comments1.xml><?xml version="1.0" encoding="utf-8"?>
<comments xmlns="http://schemas.openxmlformats.org/spreadsheetml/2006/main">
  <authors>
    <author>Keene Simonds</author>
  </authors>
  <commentList>
    <comment ref="B14" authorId="0" shapeId="0">
      <text>
        <r>
          <rPr>
            <b/>
            <sz val="9"/>
            <color indexed="81"/>
            <rFont val="Tahoma"/>
            <family val="2"/>
          </rPr>
          <t>Keene Simonds:</t>
        </r>
        <r>
          <rPr>
            <sz val="9"/>
            <color indexed="81"/>
            <rFont val="Tahoma"/>
            <family val="2"/>
          </rPr>
          <t xml:space="preserve">
Salary/Sick/Vacation/Holiday/Personal</t>
        </r>
      </text>
    </comment>
    <comment ref="S14" authorId="0" shapeId="0">
      <text>
        <r>
          <rPr>
            <b/>
            <sz val="9"/>
            <color indexed="81"/>
            <rFont val="Tahoma"/>
            <charset val="1"/>
          </rPr>
          <t>Keene Simonds:</t>
        </r>
        <r>
          <rPr>
            <sz val="9"/>
            <color indexed="81"/>
            <rFont val="Tahoma"/>
            <charset val="1"/>
          </rPr>
          <t xml:space="preserve">
assumes 3.0% Cola
assumes step increase for RJ
accounts for new KS contract
budgets 60 hrs of cash-out for KS (new)</t>
        </r>
      </text>
    </comment>
    <comment ref="B16" authorId="0" shapeId="0">
      <text>
        <r>
          <rPr>
            <b/>
            <sz val="9"/>
            <color indexed="81"/>
            <rFont val="Tahoma"/>
            <family val="2"/>
          </rPr>
          <t>Keene Simonds:</t>
        </r>
        <r>
          <rPr>
            <sz val="9"/>
            <color indexed="81"/>
            <rFont val="Tahoma"/>
            <family val="2"/>
          </rPr>
          <t xml:space="preserve">
Fringe/Vision/Dental/Health/Life</t>
        </r>
      </text>
    </comment>
    <comment ref="S19" authorId="0" shapeId="0">
      <text>
        <r>
          <rPr>
            <b/>
            <sz val="9"/>
            <color indexed="81"/>
            <rFont val="Tahoma"/>
            <charset val="1"/>
          </rPr>
          <t>Keene Simonds:</t>
        </r>
        <r>
          <rPr>
            <sz val="9"/>
            <color indexed="81"/>
            <rFont val="Tahoma"/>
            <charset val="1"/>
          </rPr>
          <t xml:space="preserve">
assumes 3Q payment in 15-16 of $1572 holds (new)</t>
        </r>
      </text>
    </comment>
    <comment ref="S26" authorId="0" shapeId="0">
      <text>
        <r>
          <rPr>
            <b/>
            <sz val="9"/>
            <color indexed="81"/>
            <rFont val="Tahoma"/>
            <charset val="1"/>
          </rPr>
          <t>Keene Simonds:</t>
        </r>
        <r>
          <rPr>
            <sz val="9"/>
            <color indexed="81"/>
            <rFont val="Tahoma"/>
            <charset val="1"/>
          </rPr>
          <t xml:space="preserve">
adds 3k for MarinIt
adds 2k for General (new)</t>
        </r>
      </text>
    </comment>
    <comment ref="S37" authorId="0" shapeId="0">
      <text>
        <r>
          <rPr>
            <b/>
            <sz val="9"/>
            <color indexed="81"/>
            <rFont val="Tahoma"/>
            <charset val="1"/>
          </rPr>
          <t>Keene Simonds:</t>
        </r>
        <r>
          <rPr>
            <sz val="9"/>
            <color indexed="81"/>
            <rFont val="Tahoma"/>
            <charset val="1"/>
          </rPr>
          <t xml:space="preserve">
assumes only 10 months of rent since lease does not kick in until Sept 16 (new)</t>
        </r>
      </text>
    </comment>
    <comment ref="Q42" authorId="0" shapeId="0">
      <text>
        <r>
          <rPr>
            <b/>
            <sz val="9"/>
            <color indexed="81"/>
            <rFont val="Tahoma"/>
            <family val="2"/>
          </rPr>
          <t>Keene Simonds:</t>
        </r>
        <r>
          <rPr>
            <sz val="9"/>
            <color indexed="81"/>
            <rFont val="Tahoma"/>
            <family val="2"/>
          </rPr>
          <t xml:space="preserve">
Budgets 20,000 for move</t>
        </r>
      </text>
    </comment>
  </commentList>
</comments>
</file>

<file path=xl/comments2.xml><?xml version="1.0" encoding="utf-8"?>
<comments xmlns="http://schemas.openxmlformats.org/spreadsheetml/2006/main">
  <authors>
    <author>Peter Banning</author>
  </authors>
  <commentList>
    <comment ref="A20" authorId="0" shapeId="0">
      <text>
        <r>
          <rPr>
            <b/>
            <sz val="9"/>
            <color indexed="81"/>
            <rFont val="Tahoma"/>
            <family val="2"/>
          </rPr>
          <t>Peter Banning:</t>
        </r>
        <r>
          <rPr>
            <sz val="9"/>
            <color indexed="81"/>
            <rFont val="Tahoma"/>
            <family val="2"/>
          </rPr>
          <t xml:space="preserve">
Projection by SDRMA</t>
        </r>
      </text>
    </comment>
  </commentList>
</comments>
</file>

<file path=xl/sharedStrings.xml><?xml version="1.0" encoding="utf-8"?>
<sst xmlns="http://schemas.openxmlformats.org/spreadsheetml/2006/main" count="434" uniqueCount="328">
  <si>
    <t>Account</t>
  </si>
  <si>
    <t xml:space="preserve">Workers Compensation </t>
  </si>
  <si>
    <t>Legal Services</t>
  </si>
  <si>
    <t xml:space="preserve">Account </t>
  </si>
  <si>
    <t xml:space="preserve">Description </t>
  </si>
  <si>
    <t xml:space="preserve">Actual </t>
  </si>
  <si>
    <t>Description</t>
  </si>
  <si>
    <t>Service Charges</t>
  </si>
  <si>
    <t>Investments</t>
  </si>
  <si>
    <t xml:space="preserve">Interest </t>
  </si>
  <si>
    <t>EXPENSE TOTALS</t>
  </si>
  <si>
    <t>REVENUE TOTALS</t>
  </si>
  <si>
    <t>Adopted</t>
  </si>
  <si>
    <t>OPERATING DIFFERENCE</t>
  </si>
  <si>
    <t xml:space="preserve">Miscellaneous </t>
  </si>
  <si>
    <t>Office Supplies</t>
  </si>
  <si>
    <t xml:space="preserve">Intergovernmental </t>
  </si>
  <si>
    <t xml:space="preserve">Contingencies </t>
  </si>
  <si>
    <t>FY2011-2012</t>
  </si>
  <si>
    <t>FY2012-2013</t>
  </si>
  <si>
    <t>FY2013-2014</t>
  </si>
  <si>
    <t>Staff Salaries</t>
  </si>
  <si>
    <t>Medicare</t>
  </si>
  <si>
    <t xml:space="preserve">Administrative Costs </t>
  </si>
  <si>
    <t>Professional Services</t>
  </si>
  <si>
    <t>Accounting/Payroll</t>
  </si>
  <si>
    <t>Conferences</t>
  </si>
  <si>
    <t>Mileage/Travel</t>
  </si>
  <si>
    <t xml:space="preserve">Salary and Benefit Costs </t>
  </si>
  <si>
    <t xml:space="preserve">Service and Supply Costs </t>
  </si>
  <si>
    <t>Office Lease/Rent</t>
  </si>
  <si>
    <t>Membership and Dues</t>
  </si>
  <si>
    <t xml:space="preserve">General Insurance </t>
  </si>
  <si>
    <t xml:space="preserve">Communication Services </t>
  </si>
  <si>
    <t>Publications/Notices</t>
  </si>
  <si>
    <t>Storage</t>
  </si>
  <si>
    <t>********</t>
  </si>
  <si>
    <t xml:space="preserve">Operating Reserve </t>
  </si>
  <si>
    <t xml:space="preserve">Agency Contributions </t>
  </si>
  <si>
    <t xml:space="preserve">    County of Marin</t>
  </si>
  <si>
    <t xml:space="preserve">    Marin Cities </t>
  </si>
  <si>
    <t xml:space="preserve">    Marin Special Districts </t>
  </si>
  <si>
    <t>Application Fees</t>
  </si>
  <si>
    <t xml:space="preserve">Expense Ledger </t>
  </si>
  <si>
    <t>Revenue Ledger</t>
  </si>
  <si>
    <t>Amount</t>
  </si>
  <si>
    <t>SDRMA</t>
  </si>
  <si>
    <t>CALAFCO</t>
  </si>
  <si>
    <t>Dues and Membership</t>
  </si>
  <si>
    <t>MarinMap</t>
  </si>
  <si>
    <t>CSDA</t>
  </si>
  <si>
    <t>Candice Bozzard</t>
  </si>
  <si>
    <t>Staples</t>
  </si>
  <si>
    <t xml:space="preserve">               </t>
  </si>
  <si>
    <t xml:space="preserve">                 </t>
  </si>
  <si>
    <t xml:space="preserve"> Political Subdivision of the State of California </t>
  </si>
  <si>
    <t>Keene Simonds</t>
  </si>
  <si>
    <t xml:space="preserve"> Marin  Local Agency Formation Commission</t>
  </si>
  <si>
    <t>FY2014-2015</t>
  </si>
  <si>
    <t>-</t>
  </si>
  <si>
    <t>FY2015-2016</t>
  </si>
  <si>
    <t>Difference</t>
  </si>
  <si>
    <t>Employee</t>
  </si>
  <si>
    <t>Hours</t>
  </si>
  <si>
    <t>Total</t>
  </si>
  <si>
    <t>Salary</t>
  </si>
  <si>
    <t>Life</t>
  </si>
  <si>
    <t>Health</t>
  </si>
  <si>
    <t>Dental</t>
  </si>
  <si>
    <t>Vision</t>
  </si>
  <si>
    <t>Fringe</t>
  </si>
  <si>
    <t>Rate:</t>
  </si>
  <si>
    <t>Salaries</t>
  </si>
  <si>
    <t>Workers Compensation</t>
  </si>
  <si>
    <t>Communications</t>
  </si>
  <si>
    <t>Internet</t>
  </si>
  <si>
    <t>Email Hosting</t>
  </si>
  <si>
    <t>2.7% COLA</t>
  </si>
  <si>
    <t>New Rate</t>
  </si>
  <si>
    <t xml:space="preserve">Baseline </t>
  </si>
  <si>
    <t>Current Rate</t>
  </si>
  <si>
    <t>Projected Rate</t>
  </si>
  <si>
    <t>Subtoals</t>
  </si>
  <si>
    <t>MarinTV</t>
  </si>
  <si>
    <t>APA</t>
  </si>
  <si>
    <t>Monthly</t>
  </si>
  <si>
    <t>Yearly</t>
  </si>
  <si>
    <t>General Insurance / Liability</t>
  </si>
  <si>
    <t xml:space="preserve">Web Hosting </t>
  </si>
  <si>
    <t xml:space="preserve">Equipment Purchase / Replacement </t>
  </si>
  <si>
    <t>ipads</t>
  </si>
  <si>
    <t>EDMS</t>
  </si>
  <si>
    <t>CALAFCO U</t>
  </si>
  <si>
    <t>Publications</t>
  </si>
  <si>
    <t>Public Hearings</t>
  </si>
  <si>
    <t>IJ/Lark/BJ</t>
  </si>
  <si>
    <t>Graphic Design / Website Edits</t>
  </si>
  <si>
    <t>Riccardi and Associations</t>
  </si>
  <si>
    <t xml:space="preserve">County Counsel </t>
  </si>
  <si>
    <t xml:space="preserve">Outside Counsel </t>
  </si>
  <si>
    <t>Accounting and Payroll</t>
  </si>
  <si>
    <t>County Payroll</t>
  </si>
  <si>
    <t>County Accounting</t>
  </si>
  <si>
    <t>*assumes 0.5 hours per week at $125</t>
  </si>
  <si>
    <t>*assumes 0.5 hour per payperiod at $100 rate</t>
  </si>
  <si>
    <t>County Auditor</t>
  </si>
  <si>
    <t>*assumes 2.5 hours to invoice and collect payments at $150</t>
  </si>
  <si>
    <t xml:space="preserve">Annual Conference </t>
  </si>
  <si>
    <t>Annual Workshop</t>
  </si>
  <si>
    <t>Travel / Mileage</t>
  </si>
  <si>
    <t>CALAFCO Leg Committee</t>
  </si>
  <si>
    <t>CALAFCO Conference</t>
  </si>
  <si>
    <t xml:space="preserve">CALAFCO Workshop </t>
  </si>
  <si>
    <t>Marin County Mileage</t>
  </si>
  <si>
    <t>Commissioner Stipends</t>
  </si>
  <si>
    <t>Regular/Special Meetings</t>
  </si>
  <si>
    <t xml:space="preserve">Committee Meetings </t>
  </si>
  <si>
    <t>Dollar</t>
  </si>
  <si>
    <t>Percent</t>
  </si>
  <si>
    <t>Strategic Workshop</t>
  </si>
  <si>
    <t>Alameda</t>
  </si>
  <si>
    <t>Contra Costa</t>
  </si>
  <si>
    <t xml:space="preserve">Sonoma </t>
  </si>
  <si>
    <t>Cities</t>
  </si>
  <si>
    <t xml:space="preserve">Districts </t>
  </si>
  <si>
    <t xml:space="preserve">Solano </t>
  </si>
  <si>
    <t xml:space="preserve">San Mateo </t>
  </si>
  <si>
    <t>Marin</t>
  </si>
  <si>
    <t xml:space="preserve">Napa </t>
  </si>
  <si>
    <t>Postage Meter</t>
  </si>
  <si>
    <t>Santa Clara</t>
  </si>
  <si>
    <t>LAFCO</t>
  </si>
  <si>
    <t>Independent</t>
  </si>
  <si>
    <t>Dependent</t>
  </si>
  <si>
    <t>Districts</t>
  </si>
  <si>
    <t>Local</t>
  </si>
  <si>
    <t>Agencies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</si>
  <si>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</si>
  <si>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</si>
  <si>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</si>
  <si>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</si>
  <si>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</si>
  <si>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</si>
  <si>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</si>
  <si>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</si>
  <si>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</si>
  <si>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</si>
  <si>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</si>
  <si>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</si>
  <si>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</si>
  <si>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</si>
  <si>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</si>
  <si>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Fiscal Year</t>
  </si>
  <si>
    <t>Adopted Budget</t>
  </si>
  <si>
    <t xml:space="preserve">Marin LAFCO </t>
  </si>
  <si>
    <t xml:space="preserve">* assumes 8 LAFCO meetings with 7 regulars and 2 alternates </t>
  </si>
  <si>
    <t xml:space="preserve">* assumes 5 Committee meetings with 3 members </t>
  </si>
  <si>
    <t>Rate</t>
  </si>
  <si>
    <t>FTE</t>
  </si>
  <si>
    <t xml:space="preserve">   As of June 30th</t>
  </si>
  <si>
    <t>Actual</t>
  </si>
  <si>
    <t>Estimate</t>
  </si>
  <si>
    <t>MCERA /  Pension</t>
  </si>
  <si>
    <t>County / Group Insurance</t>
  </si>
  <si>
    <t>Retiree Medical  (OPEB)</t>
  </si>
  <si>
    <t xml:space="preserve">Rachel Jones </t>
  </si>
  <si>
    <t>3.0% COLA</t>
  </si>
  <si>
    <t>Rachel Jones</t>
  </si>
  <si>
    <t xml:space="preserve">* assumes $1850 for Alta Mesa and $500 for catering </t>
  </si>
  <si>
    <t>$225 current houly rate</t>
  </si>
  <si>
    <t xml:space="preserve">$275 is current hourly rate </t>
  </si>
  <si>
    <t>*assumes 1 hour per 4 weeks / assumes 5% increase in rate</t>
  </si>
  <si>
    <t xml:space="preserve">Conferences </t>
  </si>
  <si>
    <t>APA Conference</t>
  </si>
  <si>
    <t>*$400 for airfare and $250 for mileage to/from Sacramento</t>
  </si>
  <si>
    <t>*assumes 3 attendees traveling to/from Santa Barbara and 3 hotel nights</t>
  </si>
  <si>
    <t xml:space="preserve">*assumes 500 total miles at .57 reimbursement </t>
  </si>
  <si>
    <t>Commissioner Per Diems</t>
  </si>
  <si>
    <t>no change</t>
  </si>
  <si>
    <t xml:space="preserve">assumes 3% </t>
  </si>
  <si>
    <t>known 7%</t>
  </si>
  <si>
    <t xml:space="preserve">no change </t>
  </si>
  <si>
    <t>Office Lease</t>
  </si>
  <si>
    <t>Denise Bergman @ 1401 Los Gamos</t>
  </si>
  <si>
    <t>EO Phone</t>
  </si>
  <si>
    <t>ATT</t>
  </si>
  <si>
    <t>Drop Box</t>
  </si>
  <si>
    <t>Postage</t>
  </si>
  <si>
    <t>Printing</t>
  </si>
  <si>
    <t>Catering / Food</t>
  </si>
  <si>
    <t xml:space="preserve">Ricon Service </t>
  </si>
  <si>
    <t>General Training</t>
  </si>
  <si>
    <t xml:space="preserve">General Training </t>
  </si>
  <si>
    <t>MSR Expertise</t>
  </si>
  <si>
    <t>New Website</t>
  </si>
  <si>
    <t xml:space="preserve">no... </t>
  </si>
  <si>
    <t>no</t>
  </si>
  <si>
    <t>2015-16</t>
  </si>
  <si>
    <t>Employees</t>
  </si>
  <si>
    <t xml:space="preserve">Contract </t>
  </si>
  <si>
    <t>Agency</t>
  </si>
  <si>
    <t>Planners</t>
  </si>
  <si>
    <t>yes</t>
  </si>
  <si>
    <t>2014-2015</t>
  </si>
  <si>
    <t>Outside LAFCO Averages...</t>
  </si>
  <si>
    <t xml:space="preserve">Bay Area LAFCO Comparables </t>
  </si>
  <si>
    <t xml:space="preserve">Group Insurance </t>
  </si>
  <si>
    <t>MCERA / Pension</t>
  </si>
  <si>
    <t>MCERA  /Other Post Employment Benefits</t>
  </si>
  <si>
    <t xml:space="preserve">Equipment Purchase </t>
  </si>
  <si>
    <t xml:space="preserve">Graphic Design/Website </t>
  </si>
  <si>
    <t xml:space="preserve">   20% of Operating Expenses... </t>
  </si>
  <si>
    <t>Smart TV</t>
  </si>
  <si>
    <t>* rent to begin at end of July 2016</t>
  </si>
  <si>
    <t>Outsite Printing</t>
  </si>
  <si>
    <t>Current ARC</t>
  </si>
  <si>
    <t>Additional</t>
  </si>
  <si>
    <t>* No change per SDRA</t>
  </si>
  <si>
    <t>Monitors</t>
  </si>
  <si>
    <t>UC Extension</t>
  </si>
  <si>
    <t>* assumes 16-17 audit per RFP with GASB 45 Increase</t>
  </si>
  <si>
    <t>2.5% COLA</t>
  </si>
  <si>
    <t>* budgets 2 attendees at $350 registration cost</t>
  </si>
  <si>
    <t>* budgets 3 attendees at $450 registration cost</t>
  </si>
  <si>
    <t xml:space="preserve">* budgets 1 attendee </t>
  </si>
  <si>
    <t xml:space="preserve">General Consulting Services </t>
  </si>
  <si>
    <t xml:space="preserve">net difference over prior FY... </t>
  </si>
  <si>
    <t xml:space="preserve">a)  Makes per diem payments uniform between regular and alternate members </t>
  </si>
  <si>
    <t>b)  Incorporates Policy Committee recommendation to make per diems available for Committee meetings</t>
  </si>
  <si>
    <t>c)  Raises per diem payment from $100 (regular) and $50 (alternate) to $125 for both categories; represents first increase since 2000</t>
  </si>
  <si>
    <r>
      <t xml:space="preserve">Proposed increase in </t>
    </r>
    <r>
      <rPr>
        <b/>
        <u/>
        <sz val="8"/>
        <rFont val="Garamond"/>
        <family val="1"/>
      </rPr>
      <t>salaries</t>
    </r>
    <r>
      <rPr>
        <sz val="8"/>
        <rFont val="Garamond"/>
        <family val="1"/>
      </rPr>
      <t xml:space="preserve"> accommodates two substantive changes:</t>
    </r>
  </si>
  <si>
    <r>
      <t>Proposed increase in</t>
    </r>
    <r>
      <rPr>
        <b/>
        <u/>
        <sz val="8"/>
        <rFont val="Garamond"/>
        <family val="1"/>
      </rPr>
      <t xml:space="preserve"> equipment purchases</t>
    </r>
    <r>
      <rPr>
        <sz val="8"/>
        <rFont val="Garamond"/>
        <family val="1"/>
      </rPr>
      <t xml:space="preserve"> accommodates three electronic tablets; part of Commission's gradual move towards "paperless" agenda packets.</t>
    </r>
  </si>
  <si>
    <r>
      <t xml:space="preserve">Proposed increase in </t>
    </r>
    <r>
      <rPr>
        <b/>
        <u/>
        <sz val="8"/>
        <rFont val="Garamond"/>
        <family val="1"/>
      </rPr>
      <t>publications/notices</t>
    </r>
    <r>
      <rPr>
        <sz val="8"/>
        <rFont val="Garamond"/>
        <family val="1"/>
      </rPr>
      <t xml:space="preserve"> accommodates a new placeholder for outside printing costs tied to producing Commission studies. </t>
    </r>
  </si>
  <si>
    <t>Abbreviated Notes:</t>
  </si>
  <si>
    <t xml:space="preserve">a)  Reflects approved/anticipated merit increases for Executive Officer and Administrative Analyst.  (Commission Clerk at top step.) </t>
  </si>
  <si>
    <r>
      <t xml:space="preserve">Proposed increase in </t>
    </r>
    <r>
      <rPr>
        <b/>
        <u val="singleAccounting"/>
        <sz val="8"/>
        <rFont val="Garamond"/>
        <family val="1"/>
      </rPr>
      <t>per diems</t>
    </r>
    <r>
      <rPr>
        <sz val="8"/>
        <rFont val="Garamond"/>
        <family val="1"/>
      </rPr>
      <t xml:space="preserve"> accommodates three substantive funding changes:</t>
    </r>
  </si>
  <si>
    <t>Purposeful operating deficit of ($25,000) budgeted to offset cost-increase to funding agencies; makes available equal amount of offsetting funds in 2017-18 without exceeding desired fund balance threshold of 20% of operating expenses</t>
  </si>
  <si>
    <t>2015-2016</t>
  </si>
  <si>
    <t>Share</t>
  </si>
  <si>
    <t>2016-2017</t>
  </si>
  <si>
    <t>County of Marin</t>
  </si>
  <si>
    <t>Belvedere</t>
  </si>
  <si>
    <t>Corte Madera</t>
  </si>
  <si>
    <t xml:space="preserve">Fairfax </t>
  </si>
  <si>
    <t>Larkspur</t>
  </si>
  <si>
    <t>Mill Valley</t>
  </si>
  <si>
    <t>Novato</t>
  </si>
  <si>
    <t xml:space="preserve">Ross </t>
  </si>
  <si>
    <t>San Anselmo</t>
  </si>
  <si>
    <t>San Rafael</t>
  </si>
  <si>
    <t xml:space="preserve">Tiburon </t>
  </si>
  <si>
    <t xml:space="preserve">Sausalito </t>
  </si>
  <si>
    <t>Bel Marin CSD</t>
  </si>
  <si>
    <t>Marin City CSD</t>
  </si>
  <si>
    <t>Marinwood CSD</t>
  </si>
  <si>
    <t>Muir Beach CSD</t>
  </si>
  <si>
    <t>Tamalpais CSD</t>
  </si>
  <si>
    <t>Bolinas FPD</t>
  </si>
  <si>
    <t>Kentfield FPD</t>
  </si>
  <si>
    <t>Novato FPD</t>
  </si>
  <si>
    <t>Sleepy Hollow FPD</t>
  </si>
  <si>
    <t>Southern Marin FPD</t>
  </si>
  <si>
    <t>Stinson Beach FPD</t>
  </si>
  <si>
    <t>Tiburon FPD</t>
  </si>
  <si>
    <t>Bolinas PUD</t>
  </si>
  <si>
    <t>Inverness PUD</t>
  </si>
  <si>
    <t>Almonte SD</t>
  </si>
  <si>
    <t>Alto SD</t>
  </si>
  <si>
    <t>Homestead SD</t>
  </si>
  <si>
    <t>Las Gallinas SD</t>
  </si>
  <si>
    <t>Novato SD</t>
  </si>
  <si>
    <t>Richardson Bay SD</t>
  </si>
  <si>
    <t>Ross Valley SD</t>
  </si>
  <si>
    <t>Tiburon SD</t>
  </si>
  <si>
    <t>Marin Municipal WD</t>
  </si>
  <si>
    <t>North Marin WD</t>
  </si>
  <si>
    <t>Stinson Beach CWD</t>
  </si>
  <si>
    <t>Marin County HCD</t>
  </si>
  <si>
    <t>Marin County RCD</t>
  </si>
  <si>
    <t>Strawberry RD</t>
  </si>
  <si>
    <t>% of Total</t>
  </si>
  <si>
    <t>n/a</t>
  </si>
  <si>
    <t>Tomales CSD</t>
  </si>
  <si>
    <t>Adopted Allocation</t>
  </si>
  <si>
    <t xml:space="preserve">Adopted Allocation </t>
  </si>
  <si>
    <t>Proposed Allocation</t>
  </si>
  <si>
    <t>Uses Last Year Revenue Totals as Placeholder</t>
  </si>
  <si>
    <t>Revenues</t>
  </si>
  <si>
    <t>... City Total</t>
  </si>
  <si>
    <t>... District Total</t>
  </si>
  <si>
    <t>TOTALS</t>
  </si>
  <si>
    <t xml:space="preserve">Sausalito-Marin City </t>
  </si>
  <si>
    <t xml:space="preserve">Salaries and Benefit Costs </t>
  </si>
  <si>
    <t>Employee Salaries</t>
  </si>
  <si>
    <t xml:space="preserve">Administrative Costs / Indirect Support </t>
  </si>
  <si>
    <t>Service and Supply Costs / Direct Support</t>
  </si>
  <si>
    <t xml:space="preserve">* based on 13-17k estimate from Planeteria </t>
  </si>
  <si>
    <t xml:space="preserve">*assumes 2 attendees with mileage and hotel for two nights in Fresno </t>
  </si>
  <si>
    <t xml:space="preserve">Operating Budgets Since CKH Enactment </t>
  </si>
  <si>
    <t>UNRESTRICTED FUND BALANCE (LESS GASB 68)</t>
  </si>
  <si>
    <t xml:space="preserve">Agency </t>
  </si>
  <si>
    <t xml:space="preserve">County of Marin </t>
  </si>
  <si>
    <t xml:space="preserve">Marin Municipal Water District </t>
  </si>
  <si>
    <t>Novato Fire Protection District</t>
  </si>
  <si>
    <t>Ross Valley Sanitary District</t>
  </si>
  <si>
    <t>North Marin Water District</t>
  </si>
  <si>
    <t>10 Largest Allocations</t>
  </si>
  <si>
    <t>Novato Sanitary District</t>
  </si>
  <si>
    <t xml:space="preserve">* Per County CAO 3.0% COLA in Play </t>
  </si>
  <si>
    <t>*assumes a 1.5% increase over current FY</t>
  </si>
  <si>
    <t>* assumes two changes; 1) per diem goes to $125 and applies equally to alternates</t>
  </si>
  <si>
    <t>Map Services</t>
  </si>
  <si>
    <t>b)  Anticipates a 3.0 % cost-of-living adjustment for all employees consistent with contract agreements established last year by the County of Marin; discretionary on the part of the Commission to match.</t>
  </si>
  <si>
    <r>
      <t xml:space="preserve">Proposed increase in </t>
    </r>
    <r>
      <rPr>
        <b/>
        <u/>
        <sz val="8"/>
        <rFont val="Garamond"/>
        <family val="1"/>
      </rPr>
      <t>graphic design</t>
    </r>
    <r>
      <rPr>
        <sz val="8"/>
        <rFont val="Garamond"/>
        <family val="1"/>
      </rPr>
      <t xml:space="preserve"> accommodates $15k funding for an outside consultant to design, develop, and launch new agency website; current site run on Joomla software and limits content management </t>
    </r>
  </si>
  <si>
    <t>Salaries and Benefits</t>
  </si>
  <si>
    <t xml:space="preserve">Services and Supplies </t>
  </si>
  <si>
    <t>Adminstrative</t>
  </si>
  <si>
    <t>Expense Unit</t>
  </si>
  <si>
    <t xml:space="preserve">Management Vacation Cash Out </t>
  </si>
  <si>
    <t>* placeholder for Marin IT and JV</t>
  </si>
  <si>
    <t xml:space="preserve">FY2016-2017 </t>
  </si>
  <si>
    <t>Proposed Final</t>
  </si>
  <si>
    <t>FY2016-2017</t>
  </si>
  <si>
    <t>2016-2017 / Final Operating Budget, As Proposed</t>
  </si>
  <si>
    <t>*assumes 1.5 hour every two weeks / assumes a 5% increase in rate</t>
  </si>
  <si>
    <t>Unemployment/Disability</t>
  </si>
  <si>
    <r>
      <t xml:space="preserve">Proposed increase in </t>
    </r>
    <r>
      <rPr>
        <b/>
        <u/>
        <sz val="8"/>
        <rFont val="Garamond"/>
        <family val="1"/>
      </rPr>
      <t>office rent</t>
    </r>
    <r>
      <rPr>
        <sz val="8"/>
        <rFont val="Garamond"/>
        <family val="1"/>
      </rPr>
      <t xml:space="preserve"> accommodates new lease at 1401 Los Gamos beginning August 2016.</t>
    </r>
  </si>
  <si>
    <r>
      <t xml:space="preserve">Proposed increase in </t>
    </r>
    <r>
      <rPr>
        <b/>
        <u/>
        <sz val="8"/>
        <rFont val="Garamond"/>
        <family val="1"/>
      </rPr>
      <t>professional services</t>
    </r>
    <r>
      <rPr>
        <sz val="8"/>
        <rFont val="Garamond"/>
        <family val="1"/>
      </rPr>
      <t xml:space="preserve"> accommodates new placeholder for general consulting 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</si>
</sst>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"/>
    <numFmt numFmtId="167" formatCode="_(&quot;$&quot;* #,##0_);_(&quot;$&quot;* \(#,##0\);_(&quot;$&quot;* &quot;-&quot;??_);_(@_)"/>
  </numFmts>
  <fonts count="54">
    <font>
      <sz val="10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sz val="12"/>
      <name val="Garamond"/>
      <family val="1"/>
    </font>
    <font>
      <b/>
      <sz val="12"/>
      <name val="Garamond"/>
      <family val="1"/>
    </font>
    <font>
      <b/>
      <sz val="10"/>
      <name val="Garamond"/>
      <family val="1"/>
    </font>
    <font>
      <i/>
      <sz val="8"/>
      <name val="Garamond"/>
      <family val="1"/>
    </font>
    <font>
      <sz val="8"/>
      <name val="Garamond"/>
      <family val="1"/>
    </font>
    <font>
      <b/>
      <sz val="8"/>
      <name val="Garamond"/>
      <family val="1"/>
    </font>
    <font>
      <u/>
      <sz val="8"/>
      <color indexed="12"/>
      <name val="Garamond"/>
      <family val="1"/>
    </font>
    <font>
      <b/>
      <u/>
      <sz val="8"/>
      <color indexed="63"/>
      <name val="Garamond"/>
      <family val="1"/>
    </font>
    <font>
      <b/>
      <u/>
      <sz val="8"/>
      <name val="Garamond"/>
      <family val="1"/>
    </font>
    <font>
      <b/>
      <sz val="16"/>
      <name val="Garamond"/>
      <family val="1"/>
    </font>
    <font>
      <b/>
      <i/>
      <sz val="8"/>
      <name val="Garamond"/>
      <family val="1"/>
    </font>
    <font>
      <sz val="14"/>
      <name val="Garamond"/>
      <family val="1"/>
    </font>
    <font>
      <sz val="7"/>
      <name val="Garamond"/>
      <family val="1"/>
    </font>
    <font>
      <sz val="8"/>
      <color rgb="FFFF0000"/>
      <name val="Garamond"/>
      <family val="1"/>
    </font>
    <font>
      <b/>
      <sz val="10"/>
      <name val="Arial"/>
      <family val="2"/>
    </font>
    <font>
      <b/>
      <sz val="14"/>
      <color theme="3" tint="-0.249977111117893"/>
      <name val="Garamond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9C0006"/>
      <name val="Calibri"/>
      <family val="2"/>
      <scheme val="minor"/>
    </font>
    <font>
      <b/>
      <sz val="10"/>
      <color theme="0"/>
      <name val="Garamond"/>
      <family val="1"/>
    </font>
    <font>
      <sz val="8"/>
      <color theme="0"/>
      <name val="Garamond"/>
      <family val="1"/>
    </font>
    <font>
      <sz val="10"/>
      <color theme="0"/>
      <name val="Arial"/>
      <family val="2"/>
    </font>
    <font>
      <i/>
      <sz val="10"/>
      <name val="Arial"/>
      <family val="2"/>
    </font>
    <font>
      <u/>
      <sz val="8"/>
      <name val="Garamond"/>
      <family val="1"/>
    </font>
    <font>
      <sz val="8"/>
      <color theme="3"/>
      <name val="Garamond"/>
      <family val="1"/>
    </font>
    <font>
      <b/>
      <i/>
      <sz val="10"/>
      <name val="Arial"/>
      <family val="2"/>
    </font>
    <font>
      <b/>
      <sz val="12"/>
      <color theme="0"/>
      <name val="Arial"/>
      <family val="2"/>
    </font>
    <font>
      <b/>
      <sz val="12"/>
      <color theme="3"/>
      <name val="Franklin Gothic Demi"/>
      <family val="2"/>
    </font>
    <font>
      <b/>
      <sz val="8"/>
      <color theme="0"/>
      <name val="Garamond"/>
      <family val="1"/>
    </font>
    <font>
      <b/>
      <sz val="12"/>
      <color theme="0"/>
      <name val="Garamond"/>
      <family val="1"/>
    </font>
    <font>
      <b/>
      <u val="singleAccounting"/>
      <sz val="8"/>
      <name val="Garamond"/>
      <family val="1"/>
    </font>
    <font>
      <b/>
      <sz val="14"/>
      <name val="Garamond"/>
      <family val="1"/>
    </font>
    <font>
      <sz val="10"/>
      <name val="Garamond"/>
      <family val="1"/>
    </font>
    <font>
      <b/>
      <i/>
      <sz val="9"/>
      <color theme="0"/>
      <name val="Garamond"/>
      <family val="1"/>
    </font>
    <font>
      <sz val="9"/>
      <name val="Garamond"/>
      <family val="1"/>
    </font>
    <font>
      <b/>
      <sz val="9"/>
      <color theme="0"/>
      <name val="Garamond"/>
      <family val="1"/>
    </font>
    <font>
      <sz val="12"/>
      <color theme="0"/>
      <name val="Bookman Old Style"/>
      <family val="1"/>
    </font>
    <font>
      <b/>
      <sz val="14"/>
      <color theme="0"/>
      <name val="Bookman Old Style"/>
      <family val="1"/>
    </font>
    <font>
      <sz val="6"/>
      <name val="Bookman Old Style"/>
      <family val="1"/>
    </font>
    <font>
      <b/>
      <sz val="6"/>
      <color theme="1" tint="0.249977111117893"/>
      <name val="Bookman Old Style"/>
      <family val="1"/>
    </font>
    <font>
      <b/>
      <sz val="6"/>
      <color theme="1" tint="0.34998626667073579"/>
      <name val="Bookman Old Style"/>
      <family val="1"/>
    </font>
    <font>
      <b/>
      <sz val="6"/>
      <name val="Bookman Old Style"/>
      <family val="1"/>
    </font>
    <font>
      <sz val="6"/>
      <color theme="0"/>
      <name val="Bookman Old Style"/>
      <family val="1"/>
    </font>
    <font>
      <i/>
      <sz val="6"/>
      <name val="Bookman Old Style"/>
      <family val="1"/>
    </font>
    <font>
      <b/>
      <i/>
      <sz val="6"/>
      <color theme="0"/>
      <name val="Bookman Old Style"/>
      <family val="1"/>
    </font>
    <font>
      <b/>
      <sz val="6"/>
      <color theme="0"/>
      <name val="Bookman Old Style"/>
      <family val="1"/>
    </font>
    <font>
      <b/>
      <sz val="14"/>
      <color theme="0"/>
      <name val="Garamond"/>
      <family val="1"/>
    </font>
    <font>
      <sz val="10"/>
      <color theme="0"/>
      <name val="Garamond"/>
      <family val="1"/>
    </font>
    <font>
      <sz val="7"/>
      <name val="Bookman Old Style"/>
      <family val="1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7">
    <fill>
      <patternFill patternType="none"/>
    </fill>
    <fill>
      <patternFill patternType="gray125"/>
    </fill>
    <fill>
      <patternFill patternType="solid">
        <fgColor theme="3" tint="0.599963377788628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C7CE"/>
      </patternFill>
    </fill>
    <fill>
      <patternFill patternType="solid">
        <fgColor theme="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2" tint="-0.74996185186315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5" tint="-0.2499465926084170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499984740745262"/>
        <bgColor indexed="64"/>
      </patternFill>
    </fill>
  </fills>
  <borders count="35">
    <border>
      <left/>
      <right/>
      <top/>
      <bottom/>
      <diagonal/>
    </border>
    <border>
      <left style="medium">
        <color indexed="55"/>
      </left>
      <right/>
      <top style="medium">
        <color indexed="55"/>
      </top>
      <bottom/>
      <diagonal/>
    </border>
    <border>
      <left/>
      <right style="medium">
        <color indexed="55"/>
      </right>
      <top style="medium">
        <color indexed="55"/>
      </top>
      <bottom/>
      <diagonal/>
    </border>
    <border>
      <left style="medium">
        <color indexed="55"/>
      </left>
      <right/>
      <top/>
      <bottom/>
      <diagonal/>
    </border>
    <border>
      <left/>
      <right style="medium">
        <color indexed="55"/>
      </right>
      <top/>
      <bottom/>
      <diagonal/>
    </border>
    <border>
      <left style="medium">
        <color indexed="55"/>
      </left>
      <right/>
      <top/>
      <bottom style="medium">
        <color indexed="55"/>
      </bottom>
      <diagonal/>
    </border>
    <border>
      <left/>
      <right style="medium">
        <color indexed="55"/>
      </right>
      <top/>
      <bottom style="medium">
        <color indexed="55"/>
      </bottom>
      <diagonal/>
    </border>
    <border>
      <left/>
      <right style="medium">
        <color indexed="55"/>
      </right>
      <top/>
      <bottom style="thin">
        <color indexed="64"/>
      </bottom>
      <diagonal/>
    </border>
    <border>
      <left style="medium">
        <color indexed="55"/>
      </left>
      <right/>
      <top/>
      <bottom style="thin">
        <color indexed="64"/>
      </bottom>
      <diagonal/>
    </border>
    <border>
      <left style="medium">
        <color indexed="55"/>
      </left>
      <right/>
      <top/>
      <bottom style="double">
        <color indexed="64"/>
      </bottom>
      <diagonal/>
    </border>
    <border>
      <left/>
      <right style="medium">
        <color indexed="55"/>
      </right>
      <top/>
      <bottom style="double">
        <color indexed="64"/>
      </bottom>
      <diagonal/>
    </border>
    <border>
      <left style="medium">
        <color indexed="55"/>
      </left>
      <right/>
      <top/>
      <bottom style="thin">
        <color theme="1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 style="thin">
        <color indexed="64"/>
      </bottom>
      <diagonal/>
    </border>
    <border>
      <left style="medium">
        <color theme="0" tint="-0.34998626667073579"/>
      </left>
      <right/>
      <top/>
      <bottom style="double">
        <color indexed="64"/>
      </bottom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/>
      <bottom/>
      <diagonal/>
    </border>
    <border>
      <left/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/>
      <right style="medium">
        <color theme="0" tint="-0.34998626667073579"/>
      </right>
      <top/>
      <bottom style="thin">
        <color indexed="64"/>
      </bottom>
      <diagonal/>
    </border>
    <border>
      <left/>
      <right style="medium">
        <color theme="0" tint="-0.34998626667073579"/>
      </right>
      <top/>
      <bottom style="double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medium">
        <color theme="0" tint="-0.34998626667073579"/>
      </left>
      <right/>
      <top/>
      <bottom style="thin">
        <color auto="1"/>
      </bottom>
      <diagonal/>
    </border>
    <border>
      <left style="medium">
        <color theme="0" tint="-0.34998626667073579"/>
      </left>
      <right/>
      <top/>
      <bottom style="double">
        <color theme="1"/>
      </bottom>
      <diagonal/>
    </border>
    <border>
      <left style="medium">
        <color theme="0" tint="-0.34998626667073579"/>
      </left>
      <right/>
      <top/>
      <bottom style="double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21" fillId="6" borderId="0" applyNumberFormat="0" applyBorder="0" applyAlignment="0" applyProtection="0"/>
  </cellStyleXfs>
  <cellXfs count="530">
    <xf numFmtId="0" fontId="0" fillId="0" borderId="0" xfId="0"/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horizontal="right"/>
    </xf>
    <xf numFmtId="0" fontId="7" fillId="0" borderId="0" xfId="0" applyFont="1" applyBorder="1" applyAlignment="1">
      <alignment horizontal="left"/>
    </xf>
    <xf numFmtId="0" fontId="4" fillId="0" borderId="0" xfId="0" applyFont="1"/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Fill="1" applyBorder="1"/>
    <xf numFmtId="0" fontId="8" fillId="0" borderId="0" xfId="0" applyFont="1" applyAlignment="1">
      <alignment horizontal="right"/>
    </xf>
    <xf numFmtId="0" fontId="8" fillId="0" borderId="0" xfId="0" applyFont="1"/>
    <xf numFmtId="0" fontId="7" fillId="0" borderId="0" xfId="0" applyFont="1" applyBorder="1" applyAlignment="1">
      <alignment horizontal="right"/>
    </xf>
    <xf numFmtId="0" fontId="9" fillId="0" borderId="0" xfId="3" applyFont="1" applyAlignment="1" applyProtection="1">
      <alignment horizontal="right"/>
    </xf>
    <xf numFmtId="0" fontId="7" fillId="0" borderId="0" xfId="0" applyFont="1" applyBorder="1"/>
    <xf numFmtId="0" fontId="8" fillId="0" borderId="0" xfId="0" applyFont="1" applyBorder="1" applyAlignment="1">
      <alignment horizontal="right"/>
    </xf>
    <xf numFmtId="0" fontId="8" fillId="0" borderId="0" xfId="0" applyFont="1" applyBorder="1"/>
    <xf numFmtId="44" fontId="7" fillId="0" borderId="0" xfId="2" applyFont="1"/>
    <xf numFmtId="0" fontId="7" fillId="0" borderId="4" xfId="0" applyFont="1" applyBorder="1"/>
    <xf numFmtId="0" fontId="8" fillId="0" borderId="3" xfId="0" applyFont="1" applyBorder="1" applyAlignment="1">
      <alignment horizontal="right"/>
    </xf>
    <xf numFmtId="0" fontId="8" fillId="0" borderId="4" xfId="0" applyFont="1" applyBorder="1" applyAlignment="1">
      <alignment horizontal="right"/>
    </xf>
    <xf numFmtId="0" fontId="7" fillId="0" borderId="3" xfId="0" applyFont="1" applyBorder="1"/>
    <xf numFmtId="0" fontId="10" fillId="0" borderId="0" xfId="0" applyFont="1"/>
    <xf numFmtId="0" fontId="7" fillId="0" borderId="0" xfId="0" applyFont="1" applyAlignment="1">
      <alignment horizontal="left"/>
    </xf>
    <xf numFmtId="43" fontId="7" fillId="0" borderId="0" xfId="1" applyFont="1" applyBorder="1"/>
    <xf numFmtId="43" fontId="8" fillId="0" borderId="0" xfId="1" applyFont="1" applyBorder="1" applyAlignment="1">
      <alignment horizontal="right"/>
    </xf>
    <xf numFmtId="164" fontId="6" fillId="0" borderId="0" xfId="1" applyNumberFormat="1" applyFont="1" applyAlignment="1">
      <alignment horizontal="left"/>
    </xf>
    <xf numFmtId="43" fontId="7" fillId="0" borderId="0" xfId="1" applyFont="1" applyFill="1" applyBorder="1" applyAlignment="1">
      <alignment horizontal="right"/>
    </xf>
    <xf numFmtId="43" fontId="7" fillId="0" borderId="0" xfId="1" applyFont="1" applyBorder="1" applyAlignment="1">
      <alignment horizontal="right"/>
    </xf>
    <xf numFmtId="164" fontId="8" fillId="0" borderId="0" xfId="0" applyNumberFormat="1" applyFont="1" applyBorder="1" applyAlignment="1">
      <alignment horizontal="right"/>
    </xf>
    <xf numFmtId="43" fontId="7" fillId="0" borderId="0" xfId="0" applyNumberFormat="1" applyFont="1"/>
    <xf numFmtId="0" fontId="7" fillId="0" borderId="0" xfId="0" applyFont="1" applyBorder="1" applyAlignment="1">
      <alignment horizontal="left" wrapText="1"/>
    </xf>
    <xf numFmtId="44" fontId="8" fillId="0" borderId="0" xfId="0" applyNumberFormat="1" applyFont="1"/>
    <xf numFmtId="0" fontId="10" fillId="0" borderId="0" xfId="0" applyFont="1" applyAlignment="1">
      <alignment horizontal="left"/>
    </xf>
    <xf numFmtId="43" fontId="7" fillId="0" borderId="4" xfId="1" applyFont="1" applyBorder="1"/>
    <xf numFmtId="0" fontId="7" fillId="0" borderId="5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16" fontId="8" fillId="0" borderId="0" xfId="0" applyNumberFormat="1" applyFont="1" applyFill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/>
    <xf numFmtId="0" fontId="11" fillId="0" borderId="0" xfId="0" applyFont="1"/>
    <xf numFmtId="43" fontId="7" fillId="0" borderId="0" xfId="1" applyFont="1" applyAlignment="1">
      <alignment horizontal="right"/>
    </xf>
    <xf numFmtId="43" fontId="7" fillId="0" borderId="0" xfId="1" applyFont="1"/>
    <xf numFmtId="164" fontId="8" fillId="0" borderId="6" xfId="0" applyNumberFormat="1" applyFont="1" applyBorder="1" applyAlignment="1">
      <alignment horizontal="right"/>
    </xf>
    <xf numFmtId="0" fontId="5" fillId="2" borderId="0" xfId="0" applyFont="1" applyFill="1" applyBorder="1"/>
    <xf numFmtId="0" fontId="5" fillId="2" borderId="0" xfId="0" applyFont="1" applyFill="1" applyBorder="1" applyAlignment="1">
      <alignment horizontal="right"/>
    </xf>
    <xf numFmtId="43" fontId="7" fillId="0" borderId="7" xfId="1" applyFont="1" applyBorder="1" applyAlignment="1">
      <alignment horizontal="right"/>
    </xf>
    <xf numFmtId="43" fontId="7" fillId="0" borderId="3" xfId="1" applyFont="1" applyBorder="1" applyAlignment="1">
      <alignment horizontal="right"/>
    </xf>
    <xf numFmtId="43" fontId="7" fillId="0" borderId="4" xfId="1" applyFont="1" applyBorder="1" applyAlignment="1">
      <alignment horizontal="right"/>
    </xf>
    <xf numFmtId="43" fontId="8" fillId="0" borderId="4" xfId="1" applyFont="1" applyBorder="1" applyAlignment="1">
      <alignment horizontal="right"/>
    </xf>
    <xf numFmtId="43" fontId="7" fillId="0" borderId="3" xfId="1" applyFont="1" applyBorder="1"/>
    <xf numFmtId="43" fontId="7" fillId="0" borderId="8" xfId="1" applyFont="1" applyBorder="1" applyAlignment="1">
      <alignment horizontal="right"/>
    </xf>
    <xf numFmtId="43" fontId="8" fillId="0" borderId="3" xfId="1" applyFont="1" applyBorder="1" applyAlignment="1">
      <alignment horizontal="right"/>
    </xf>
    <xf numFmtId="43" fontId="8" fillId="0" borderId="7" xfId="1" applyFont="1" applyBorder="1" applyAlignment="1">
      <alignment horizontal="right"/>
    </xf>
    <xf numFmtId="43" fontId="7" fillId="0" borderId="11" xfId="1" applyFont="1" applyBorder="1" applyAlignment="1">
      <alignment horizontal="right"/>
    </xf>
    <xf numFmtId="43" fontId="7" fillId="0" borderId="5" xfId="1" applyFont="1" applyBorder="1" applyAlignment="1">
      <alignment horizontal="right"/>
    </xf>
    <xf numFmtId="43" fontId="7" fillId="0" borderId="6" xfId="1" applyFont="1" applyBorder="1" applyAlignment="1">
      <alignment horizontal="right"/>
    </xf>
    <xf numFmtId="43" fontId="5" fillId="2" borderId="0" xfId="1" applyFont="1" applyFill="1" applyBorder="1"/>
    <xf numFmtId="43" fontId="8" fillId="0" borderId="0" xfId="1" applyFont="1" applyAlignment="1">
      <alignment horizontal="right"/>
    </xf>
    <xf numFmtId="0" fontId="7" fillId="0" borderId="0" xfId="0" applyFont="1" applyFill="1"/>
    <xf numFmtId="43" fontId="7" fillId="0" borderId="3" xfId="1" applyFont="1" applyFill="1" applyBorder="1" applyAlignment="1">
      <alignment horizontal="center"/>
    </xf>
    <xf numFmtId="0" fontId="12" fillId="0" borderId="0" xfId="0" applyFont="1"/>
    <xf numFmtId="43" fontId="16" fillId="0" borderId="0" xfId="1" applyFont="1" applyBorder="1" applyAlignment="1">
      <alignment horizontal="center"/>
    </xf>
    <xf numFmtId="43" fontId="16" fillId="0" borderId="0" xfId="1" applyFont="1" applyFill="1" applyBorder="1" applyAlignment="1">
      <alignment horizontal="center"/>
    </xf>
    <xf numFmtId="0" fontId="14" fillId="0" borderId="0" xfId="0" applyFont="1"/>
    <xf numFmtId="0" fontId="7" fillId="3" borderId="0" xfId="0" applyFont="1" applyFill="1" applyAlignment="1">
      <alignment horizontal="right"/>
    </xf>
    <xf numFmtId="0" fontId="7" fillId="3" borderId="0" xfId="0" applyFont="1" applyFill="1"/>
    <xf numFmtId="0" fontId="8" fillId="3" borderId="0" xfId="0" applyFont="1" applyFill="1" applyAlignment="1">
      <alignment horizontal="right"/>
    </xf>
    <xf numFmtId="0" fontId="7" fillId="3" borderId="0" xfId="0" applyFont="1" applyFill="1" applyBorder="1" applyAlignment="1">
      <alignment horizontal="right"/>
    </xf>
    <xf numFmtId="0" fontId="7" fillId="0" borderId="13" xfId="0" applyFont="1" applyBorder="1" applyAlignment="1">
      <alignment horizontal="right"/>
    </xf>
    <xf numFmtId="43" fontId="7" fillId="0" borderId="13" xfId="1" applyFont="1" applyBorder="1" applyAlignment="1">
      <alignment horizontal="right"/>
    </xf>
    <xf numFmtId="43" fontId="7" fillId="0" borderId="14" xfId="1" applyFont="1" applyBorder="1" applyAlignment="1">
      <alignment horizontal="right"/>
    </xf>
    <xf numFmtId="43" fontId="7" fillId="0" borderId="13" xfId="1" applyFont="1" applyBorder="1" applyAlignment="1">
      <alignment horizontal="right" indent="2"/>
    </xf>
    <xf numFmtId="43" fontId="7" fillId="0" borderId="16" xfId="1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8" fillId="0" borderId="18" xfId="0" applyFont="1" applyBorder="1" applyAlignment="1">
      <alignment horizontal="right"/>
    </xf>
    <xf numFmtId="0" fontId="5" fillId="0" borderId="18" xfId="0" applyFont="1" applyFill="1" applyBorder="1" applyAlignment="1">
      <alignment horizontal="right"/>
    </xf>
    <xf numFmtId="0" fontId="8" fillId="0" borderId="20" xfId="0" applyFont="1" applyBorder="1" applyAlignment="1">
      <alignment horizontal="right"/>
    </xf>
    <xf numFmtId="0" fontId="7" fillId="0" borderId="0" xfId="0" applyFont="1" applyFill="1" applyAlignment="1">
      <alignment horizontal="right"/>
    </xf>
    <xf numFmtId="0" fontId="8" fillId="0" borderId="0" xfId="0" applyFont="1" applyFill="1" applyBorder="1" applyAlignment="1">
      <alignment horizontal="right"/>
    </xf>
    <xf numFmtId="0" fontId="8" fillId="0" borderId="0" xfId="0" applyFont="1" applyFill="1" applyAlignment="1">
      <alignment horizontal="right"/>
    </xf>
    <xf numFmtId="0" fontId="7" fillId="0" borderId="0" xfId="0" applyFont="1" applyFill="1" applyBorder="1" applyAlignment="1">
      <alignment horizontal="right"/>
    </xf>
    <xf numFmtId="43" fontId="7" fillId="0" borderId="18" xfId="0" applyNumberFormat="1" applyFont="1" applyBorder="1" applyAlignment="1">
      <alignment horizontal="right"/>
    </xf>
    <xf numFmtId="43" fontId="7" fillId="0" borderId="18" xfId="1" applyFont="1" applyBorder="1" applyAlignment="1">
      <alignment horizontal="right"/>
    </xf>
    <xf numFmtId="43" fontId="7" fillId="0" borderId="22" xfId="0" applyNumberFormat="1" applyFont="1" applyBorder="1" applyAlignment="1">
      <alignment horizontal="right"/>
    </xf>
    <xf numFmtId="43" fontId="7" fillId="0" borderId="22" xfId="1" applyFont="1" applyBorder="1" applyAlignment="1">
      <alignment horizontal="right"/>
    </xf>
    <xf numFmtId="0" fontId="8" fillId="3" borderId="0" xfId="0" applyFont="1" applyFill="1" applyBorder="1" applyAlignment="1">
      <alignment horizontal="right"/>
    </xf>
    <xf numFmtId="0" fontId="8" fillId="0" borderId="0" xfId="0" applyFont="1" applyFill="1" applyAlignment="1">
      <alignment horizontal="left"/>
    </xf>
    <xf numFmtId="43" fontId="7" fillId="0" borderId="0" xfId="0" applyNumberFormat="1" applyFont="1" applyFill="1" applyBorder="1" applyAlignment="1">
      <alignment horizontal="center"/>
    </xf>
    <xf numFmtId="43" fontId="7" fillId="0" borderId="0" xfId="0" applyNumberFormat="1" applyFont="1" applyFill="1" applyBorder="1" applyAlignment="1">
      <alignment horizontal="right"/>
    </xf>
    <xf numFmtId="0" fontId="7" fillId="3" borderId="0" xfId="0" applyFont="1" applyFill="1" applyAlignment="1">
      <alignment horizontal="left"/>
    </xf>
    <xf numFmtId="164" fontId="8" fillId="3" borderId="0" xfId="0" applyNumberFormat="1" applyFont="1" applyFill="1" applyBorder="1" applyAlignment="1">
      <alignment horizontal="right"/>
    </xf>
    <xf numFmtId="43" fontId="7" fillId="0" borderId="0" xfId="1" applyFont="1" applyFill="1" applyBorder="1"/>
    <xf numFmtId="43" fontId="8" fillId="4" borderId="0" xfId="0" applyNumberFormat="1" applyFont="1" applyFill="1" applyBorder="1" applyAlignment="1">
      <alignment horizontal="right"/>
    </xf>
    <xf numFmtId="0" fontId="8" fillId="4" borderId="0" xfId="0" applyFont="1" applyFill="1" applyBorder="1" applyAlignment="1">
      <alignment horizontal="right"/>
    </xf>
    <xf numFmtId="164" fontId="8" fillId="4" borderId="0" xfId="0" applyNumberFormat="1" applyFont="1" applyFill="1" applyBorder="1" applyAlignment="1">
      <alignment horizontal="right"/>
    </xf>
    <xf numFmtId="0" fontId="7" fillId="4" borderId="0" xfId="0" applyFont="1" applyFill="1" applyBorder="1" applyAlignment="1">
      <alignment horizontal="right"/>
    </xf>
    <xf numFmtId="0" fontId="8" fillId="4" borderId="0" xfId="0" applyFont="1" applyFill="1" applyBorder="1"/>
    <xf numFmtId="0" fontId="7" fillId="4" borderId="0" xfId="0" applyFont="1" applyFill="1" applyBorder="1" applyAlignment="1">
      <alignment horizontal="left"/>
    </xf>
    <xf numFmtId="0" fontId="7" fillId="4" borderId="0" xfId="0" applyFont="1" applyFill="1" applyBorder="1"/>
    <xf numFmtId="43" fontId="6" fillId="0" borderId="3" xfId="1" applyFont="1" applyFill="1" applyBorder="1" applyAlignment="1">
      <alignment horizontal="center"/>
    </xf>
    <xf numFmtId="43" fontId="6" fillId="0" borderId="4" xfId="1" applyFont="1" applyBorder="1" applyAlignment="1">
      <alignment horizontal="right"/>
    </xf>
    <xf numFmtId="43" fontId="6" fillId="0" borderId="0" xfId="1" applyFont="1" applyAlignment="1">
      <alignment horizontal="right"/>
    </xf>
    <xf numFmtId="43" fontId="6" fillId="0" borderId="3" xfId="1" applyFont="1" applyBorder="1" applyAlignment="1">
      <alignment horizontal="right"/>
    </xf>
    <xf numFmtId="43" fontId="6" fillId="0" borderId="0" xfId="1" applyFont="1"/>
    <xf numFmtId="43" fontId="6" fillId="0" borderId="13" xfId="1" applyFont="1" applyBorder="1" applyAlignment="1">
      <alignment horizontal="right"/>
    </xf>
    <xf numFmtId="43" fontId="6" fillId="0" borderId="18" xfId="0" applyNumberFormat="1" applyFont="1" applyBorder="1" applyAlignment="1">
      <alignment horizontal="right"/>
    </xf>
    <xf numFmtId="43" fontId="13" fillId="0" borderId="0" xfId="1" applyFont="1" applyAlignment="1">
      <alignment horizontal="right"/>
    </xf>
    <xf numFmtId="43" fontId="8" fillId="0" borderId="13" xfId="1" applyFont="1" applyBorder="1" applyAlignment="1">
      <alignment horizontal="right"/>
    </xf>
    <xf numFmtId="43" fontId="8" fillId="0" borderId="0" xfId="1" applyFont="1" applyBorder="1"/>
    <xf numFmtId="0" fontId="8" fillId="0" borderId="21" xfId="0" applyFont="1" applyBorder="1" applyAlignment="1">
      <alignment horizontal="right"/>
    </xf>
    <xf numFmtId="0" fontId="15" fillId="0" borderId="0" xfId="0" applyFont="1" applyAlignment="1">
      <alignment horizontal="left"/>
    </xf>
    <xf numFmtId="43" fontId="7" fillId="0" borderId="0" xfId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0" borderId="1" xfId="0" applyFont="1" applyBorder="1" applyAlignment="1">
      <alignment horizontal="right"/>
    </xf>
    <xf numFmtId="0" fontId="8" fillId="0" borderId="2" xfId="0" applyFont="1" applyBorder="1" applyAlignment="1">
      <alignment horizontal="right"/>
    </xf>
    <xf numFmtId="0" fontId="8" fillId="0" borderId="12" xfId="0" applyFont="1" applyBorder="1" applyAlignment="1">
      <alignment horizontal="right"/>
    </xf>
    <xf numFmtId="0" fontId="8" fillId="0" borderId="13" xfId="0" applyFont="1" applyBorder="1" applyAlignment="1">
      <alignment horizontal="right"/>
    </xf>
    <xf numFmtId="43" fontId="7" fillId="0" borderId="8" xfId="1" applyFont="1" applyFill="1" applyBorder="1" applyAlignment="1">
      <alignment horizontal="center"/>
    </xf>
    <xf numFmtId="43" fontId="8" fillId="0" borderId="9" xfId="1" applyFont="1" applyBorder="1" applyAlignment="1">
      <alignment horizontal="right"/>
    </xf>
    <xf numFmtId="43" fontId="8" fillId="0" borderId="10" xfId="1" applyFont="1" applyBorder="1" applyAlignment="1">
      <alignment horizontal="right"/>
    </xf>
    <xf numFmtId="43" fontId="8" fillId="0" borderId="23" xfId="0" applyNumberFormat="1" applyFont="1" applyBorder="1" applyAlignment="1">
      <alignment horizontal="right"/>
    </xf>
    <xf numFmtId="43" fontId="8" fillId="0" borderId="9" xfId="1" applyFont="1" applyFill="1" applyBorder="1" applyAlignment="1">
      <alignment horizontal="center"/>
    </xf>
    <xf numFmtId="43" fontId="8" fillId="0" borderId="0" xfId="1" applyFont="1"/>
    <xf numFmtId="43" fontId="8" fillId="0" borderId="15" xfId="1" applyFont="1" applyBorder="1" applyAlignment="1">
      <alignment horizontal="right"/>
    </xf>
    <xf numFmtId="0" fontId="0" fillId="0" borderId="0" xfId="0" applyBorder="1"/>
    <xf numFmtId="0" fontId="0" fillId="0" borderId="24" xfId="0" applyBorder="1"/>
    <xf numFmtId="0" fontId="1" fillId="0" borderId="0" xfId="0" applyFont="1"/>
    <xf numFmtId="0" fontId="0" fillId="0" borderId="0" xfId="0" applyAlignment="1">
      <alignment horizontal="center"/>
    </xf>
    <xf numFmtId="0" fontId="5" fillId="0" borderId="0" xfId="0" applyFont="1" applyFill="1"/>
    <xf numFmtId="0" fontId="4" fillId="0" borderId="0" xfId="0" applyFont="1" applyFill="1" applyBorder="1"/>
    <xf numFmtId="0" fontId="3" fillId="0" borderId="0" xfId="0" applyFont="1" applyFill="1" applyBorder="1"/>
    <xf numFmtId="0" fontId="7" fillId="0" borderId="0" xfId="0" applyFont="1" applyFill="1" applyAlignment="1">
      <alignment horizontal="left"/>
    </xf>
    <xf numFmtId="43" fontId="7" fillId="0" borderId="3" xfId="1" applyFont="1" applyFill="1" applyBorder="1" applyAlignment="1">
      <alignment horizontal="right"/>
    </xf>
    <xf numFmtId="43" fontId="7" fillId="0" borderId="4" xfId="1" applyFont="1" applyFill="1" applyBorder="1" applyAlignment="1">
      <alignment horizontal="right"/>
    </xf>
    <xf numFmtId="43" fontId="7" fillId="0" borderId="13" xfId="1" applyFont="1" applyFill="1" applyBorder="1" applyAlignment="1">
      <alignment horizontal="right"/>
    </xf>
    <xf numFmtId="43" fontId="7" fillId="0" borderId="18" xfId="0" applyNumberFormat="1" applyFont="1" applyFill="1" applyBorder="1" applyAlignment="1">
      <alignment horizontal="right"/>
    </xf>
    <xf numFmtId="0" fontId="0" fillId="0" borderId="0" xfId="0"/>
    <xf numFmtId="0" fontId="18" fillId="0" borderId="0" xfId="0" applyFont="1"/>
    <xf numFmtId="0" fontId="0" fillId="0" borderId="0" xfId="0"/>
    <xf numFmtId="43" fontId="8" fillId="0" borderId="12" xfId="1" applyFont="1" applyFill="1" applyBorder="1" applyAlignment="1">
      <alignment horizontal="right"/>
    </xf>
    <xf numFmtId="43" fontId="8" fillId="0" borderId="13" xfId="1" applyFont="1" applyFill="1" applyBorder="1" applyAlignment="1">
      <alignment horizontal="right"/>
    </xf>
    <xf numFmtId="0" fontId="8" fillId="0" borderId="13" xfId="0" applyFont="1" applyFill="1" applyBorder="1" applyAlignment="1">
      <alignment horizontal="right"/>
    </xf>
    <xf numFmtId="43" fontId="7" fillId="0" borderId="14" xfId="1" applyFont="1" applyFill="1" applyBorder="1" applyAlignment="1">
      <alignment horizontal="right"/>
    </xf>
    <xf numFmtId="43" fontId="7" fillId="0" borderId="13" xfId="1" applyFont="1" applyFill="1" applyBorder="1" applyAlignment="1">
      <alignment horizontal="right" indent="2"/>
    </xf>
    <xf numFmtId="43" fontId="8" fillId="0" borderId="14" xfId="1" applyFont="1" applyFill="1" applyBorder="1" applyAlignment="1">
      <alignment horizontal="right"/>
    </xf>
    <xf numFmtId="43" fontId="8" fillId="0" borderId="28" xfId="1" applyFont="1" applyFill="1" applyBorder="1" applyAlignment="1">
      <alignment horizontal="right"/>
    </xf>
    <xf numFmtId="43" fontId="8" fillId="0" borderId="16" xfId="1" applyFont="1" applyFill="1" applyBorder="1" applyAlignment="1">
      <alignment horizontal="right"/>
    </xf>
    <xf numFmtId="43" fontId="6" fillId="0" borderId="13" xfId="1" applyFont="1" applyFill="1" applyBorder="1" applyAlignment="1">
      <alignment horizontal="right"/>
    </xf>
    <xf numFmtId="43" fontId="7" fillId="0" borderId="26" xfId="1" applyFont="1" applyFill="1" applyBorder="1" applyAlignment="1">
      <alignment horizontal="right"/>
    </xf>
    <xf numFmtId="43" fontId="8" fillId="0" borderId="27" xfId="1" applyFont="1" applyFill="1" applyBorder="1" applyAlignment="1">
      <alignment horizontal="right"/>
    </xf>
    <xf numFmtId="43" fontId="8" fillId="0" borderId="21" xfId="1" applyFont="1" applyFill="1" applyBorder="1" applyAlignment="1">
      <alignment horizontal="right"/>
    </xf>
    <xf numFmtId="17" fontId="8" fillId="0" borderId="18" xfId="1" applyNumberFormat="1" applyFont="1" applyFill="1" applyBorder="1" applyAlignment="1">
      <alignment horizontal="right"/>
    </xf>
    <xf numFmtId="9" fontId="7" fillId="0" borderId="18" xfId="4" applyFont="1" applyFill="1" applyBorder="1" applyAlignment="1">
      <alignment horizontal="right"/>
    </xf>
    <xf numFmtId="0" fontId="8" fillId="0" borderId="18" xfId="0" applyFont="1" applyFill="1" applyBorder="1" applyAlignment="1">
      <alignment horizontal="right"/>
    </xf>
    <xf numFmtId="43" fontId="7" fillId="0" borderId="18" xfId="1" applyFont="1" applyFill="1" applyBorder="1" applyAlignment="1">
      <alignment horizontal="right"/>
    </xf>
    <xf numFmtId="43" fontId="7" fillId="0" borderId="22" xfId="1" applyFont="1" applyFill="1" applyBorder="1" applyAlignment="1">
      <alignment horizontal="right"/>
    </xf>
    <xf numFmtId="0" fontId="7" fillId="0" borderId="18" xfId="0" applyFont="1" applyFill="1" applyBorder="1" applyAlignment="1">
      <alignment horizontal="right"/>
    </xf>
    <xf numFmtId="43" fontId="7" fillId="0" borderId="22" xfId="0" applyNumberFormat="1" applyFont="1" applyFill="1" applyBorder="1" applyAlignment="1">
      <alignment horizontal="right"/>
    </xf>
    <xf numFmtId="43" fontId="8" fillId="0" borderId="18" xfId="1" applyFont="1" applyFill="1" applyBorder="1" applyAlignment="1">
      <alignment horizontal="right"/>
    </xf>
    <xf numFmtId="43" fontId="8" fillId="0" borderId="22" xfId="1" applyFont="1" applyFill="1" applyBorder="1" applyAlignment="1">
      <alignment horizontal="right"/>
    </xf>
    <xf numFmtId="43" fontId="8" fillId="0" borderId="23" xfId="0" applyNumberFormat="1" applyFont="1" applyFill="1" applyBorder="1" applyAlignment="1">
      <alignment horizontal="right"/>
    </xf>
    <xf numFmtId="0" fontId="8" fillId="0" borderId="20" xfId="0" applyFont="1" applyFill="1" applyBorder="1" applyAlignment="1">
      <alignment horizontal="right"/>
    </xf>
    <xf numFmtId="43" fontId="6" fillId="0" borderId="18" xfId="1" applyFont="1" applyFill="1" applyBorder="1" applyAlignment="1">
      <alignment horizontal="right"/>
    </xf>
    <xf numFmtId="43" fontId="8" fillId="0" borderId="23" xfId="1" applyFont="1" applyFill="1" applyBorder="1" applyAlignment="1">
      <alignment horizontal="right"/>
    </xf>
    <xf numFmtId="43" fontId="8" fillId="0" borderId="20" xfId="1" applyFont="1" applyFill="1" applyBorder="1" applyAlignment="1">
      <alignment horizontal="right"/>
    </xf>
    <xf numFmtId="0" fontId="22" fillId="2" borderId="0" xfId="0" applyFont="1" applyFill="1" applyBorder="1" applyAlignment="1">
      <alignment horizontal="right"/>
    </xf>
    <xf numFmtId="0" fontId="23" fillId="0" borderId="0" xfId="0" applyFont="1" applyBorder="1" applyAlignment="1">
      <alignment horizontal="right"/>
    </xf>
    <xf numFmtId="0" fontId="22" fillId="2" borderId="0" xfId="0" applyFont="1" applyFill="1" applyBorder="1"/>
    <xf numFmtId="0" fontId="23" fillId="0" borderId="0" xfId="0" applyFont="1" applyBorder="1"/>
    <xf numFmtId="0" fontId="24" fillId="0" borderId="0" xfId="0" applyFont="1"/>
    <xf numFmtId="0" fontId="22" fillId="7" borderId="0" xfId="0" applyFont="1" applyFill="1" applyBorder="1" applyAlignment="1">
      <alignment horizontal="right"/>
    </xf>
    <xf numFmtId="0" fontId="0" fillId="7" borderId="0" xfId="0" applyFill="1"/>
    <xf numFmtId="10" fontId="0" fillId="0" borderId="0" xfId="4" applyNumberFormat="1" applyFont="1"/>
    <xf numFmtId="0" fontId="0" fillId="0" borderId="0" xfId="0"/>
    <xf numFmtId="0" fontId="17" fillId="0" borderId="0" xfId="0" applyFont="1"/>
    <xf numFmtId="0" fontId="0" fillId="14" borderId="17" xfId="0" applyFill="1" applyBorder="1"/>
    <xf numFmtId="0" fontId="6" fillId="14" borderId="21" xfId="0" applyFont="1" applyFill="1" applyBorder="1" applyAlignment="1">
      <alignment horizontal="right"/>
    </xf>
    <xf numFmtId="17" fontId="8" fillId="14" borderId="13" xfId="1" applyNumberFormat="1" applyFont="1" applyFill="1" applyBorder="1" applyAlignment="1">
      <alignment horizontal="right"/>
    </xf>
    <xf numFmtId="0" fontId="0" fillId="14" borderId="0" xfId="0" applyFill="1" applyBorder="1"/>
    <xf numFmtId="0" fontId="6" fillId="14" borderId="18" xfId="0" applyFont="1" applyFill="1" applyBorder="1" applyAlignment="1">
      <alignment horizontal="right"/>
    </xf>
    <xf numFmtId="0" fontId="0" fillId="14" borderId="13" xfId="0" applyFill="1" applyBorder="1"/>
    <xf numFmtId="0" fontId="0" fillId="14" borderId="24" xfId="0" applyFill="1" applyBorder="1"/>
    <xf numFmtId="17" fontId="8" fillId="14" borderId="22" xfId="1" applyNumberFormat="1" applyFont="1" applyFill="1" applyBorder="1" applyAlignment="1">
      <alignment horizontal="right"/>
    </xf>
    <xf numFmtId="0" fontId="0" fillId="14" borderId="18" xfId="0" applyFill="1" applyBorder="1"/>
    <xf numFmtId="0" fontId="6" fillId="14" borderId="0" xfId="0" applyFont="1" applyFill="1" applyBorder="1" applyAlignment="1">
      <alignment horizontal="right"/>
    </xf>
    <xf numFmtId="43" fontId="7" fillId="14" borderId="13" xfId="1" applyFont="1" applyFill="1" applyBorder="1" applyAlignment="1">
      <alignment horizontal="right"/>
    </xf>
    <xf numFmtId="43" fontId="6" fillId="14" borderId="0" xfId="1" applyFont="1" applyFill="1" applyBorder="1" applyAlignment="1">
      <alignment horizontal="right"/>
    </xf>
    <xf numFmtId="43" fontId="7" fillId="14" borderId="26" xfId="1" applyFont="1" applyFill="1" applyBorder="1" applyAlignment="1">
      <alignment horizontal="right"/>
    </xf>
    <xf numFmtId="43" fontId="6" fillId="14" borderId="24" xfId="1" applyFont="1" applyFill="1" applyBorder="1" applyAlignment="1">
      <alignment horizontal="right"/>
    </xf>
    <xf numFmtId="43" fontId="7" fillId="14" borderId="0" xfId="1" applyFont="1" applyFill="1" applyBorder="1" applyAlignment="1">
      <alignment horizontal="right"/>
    </xf>
    <xf numFmtId="43" fontId="7" fillId="14" borderId="18" xfId="1" applyFont="1" applyFill="1" applyBorder="1" applyAlignment="1">
      <alignment horizontal="right"/>
    </xf>
    <xf numFmtId="43" fontId="7" fillId="14" borderId="24" xfId="1" applyFont="1" applyFill="1" applyBorder="1" applyAlignment="1">
      <alignment horizontal="right"/>
    </xf>
    <xf numFmtId="43" fontId="7" fillId="14" borderId="22" xfId="1" applyFont="1" applyFill="1" applyBorder="1" applyAlignment="1">
      <alignment horizontal="right"/>
    </xf>
    <xf numFmtId="43" fontId="8" fillId="14" borderId="28" xfId="1" applyFont="1" applyFill="1" applyBorder="1" applyAlignment="1">
      <alignment horizontal="right"/>
    </xf>
    <xf numFmtId="43" fontId="13" fillId="14" borderId="25" xfId="1" applyFont="1" applyFill="1" applyBorder="1" applyAlignment="1">
      <alignment horizontal="right"/>
    </xf>
    <xf numFmtId="0" fontId="25" fillId="14" borderId="0" xfId="0" applyFont="1" applyFill="1" applyBorder="1"/>
    <xf numFmtId="0" fontId="0" fillId="14" borderId="16" xfId="0" applyFill="1" applyBorder="1"/>
    <xf numFmtId="0" fontId="0" fillId="14" borderId="19" xfId="0" applyFill="1" applyBorder="1"/>
    <xf numFmtId="0" fontId="0" fillId="14" borderId="20" xfId="0" applyFill="1" applyBorder="1"/>
    <xf numFmtId="43" fontId="7" fillId="14" borderId="13" xfId="0" applyNumberFormat="1" applyFont="1" applyFill="1" applyBorder="1"/>
    <xf numFmtId="43" fontId="6" fillId="14" borderId="0" xfId="0" applyNumberFormat="1" applyFont="1" applyFill="1" applyBorder="1"/>
    <xf numFmtId="43" fontId="6" fillId="14" borderId="13" xfId="0" applyNumberFormat="1" applyFont="1" applyFill="1" applyBorder="1"/>
    <xf numFmtId="43" fontId="7" fillId="14" borderId="26" xfId="0" applyNumberFormat="1" applyFont="1" applyFill="1" applyBorder="1"/>
    <xf numFmtId="43" fontId="6" fillId="14" borderId="24" xfId="0" applyNumberFormat="1" applyFont="1" applyFill="1" applyBorder="1"/>
    <xf numFmtId="43" fontId="7" fillId="14" borderId="0" xfId="0" applyNumberFormat="1" applyFont="1" applyFill="1" applyBorder="1"/>
    <xf numFmtId="43" fontId="7" fillId="14" borderId="13" xfId="1" applyFont="1" applyFill="1" applyBorder="1"/>
    <xf numFmtId="43" fontId="7" fillId="14" borderId="26" xfId="1" applyFont="1" applyFill="1" applyBorder="1"/>
    <xf numFmtId="43" fontId="7" fillId="14" borderId="24" xfId="0" applyNumberFormat="1" applyFont="1" applyFill="1" applyBorder="1"/>
    <xf numFmtId="43" fontId="8" fillId="14" borderId="28" xfId="0" applyNumberFormat="1" applyFont="1" applyFill="1" applyBorder="1"/>
    <xf numFmtId="43" fontId="13" fillId="14" borderId="25" xfId="0" applyNumberFormat="1" applyFont="1" applyFill="1" applyBorder="1"/>
    <xf numFmtId="0" fontId="17" fillId="14" borderId="0" xfId="0" applyFont="1" applyFill="1" applyBorder="1"/>
    <xf numFmtId="44" fontId="7" fillId="0" borderId="0" xfId="2" applyFont="1" applyFill="1" applyBorder="1" applyAlignment="1">
      <alignment horizontal="left"/>
    </xf>
    <xf numFmtId="0" fontId="27" fillId="3" borderId="0" xfId="0" applyFont="1" applyFill="1" applyAlignment="1">
      <alignment horizontal="right"/>
    </xf>
    <xf numFmtId="0" fontId="27" fillId="3" borderId="0" xfId="0" applyFont="1" applyFill="1"/>
    <xf numFmtId="3" fontId="0" fillId="0" borderId="0" xfId="0" applyNumberFormat="1"/>
    <xf numFmtId="0" fontId="28" fillId="0" borderId="24" xfId="0" applyFont="1" applyBorder="1" applyAlignment="1">
      <alignment horizontal="right"/>
    </xf>
    <xf numFmtId="0" fontId="1" fillId="0" borderId="29" xfId="0" applyFont="1" applyBorder="1"/>
    <xf numFmtId="0" fontId="0" fillId="0" borderId="29" xfId="0" applyBorder="1"/>
    <xf numFmtId="0" fontId="17" fillId="16" borderId="0" xfId="0" applyFont="1" applyFill="1" applyAlignment="1">
      <alignment horizontal="center"/>
    </xf>
    <xf numFmtId="0" fontId="1" fillId="16" borderId="0" xfId="0" applyFont="1" applyFill="1" applyAlignment="1">
      <alignment horizontal="center"/>
    </xf>
    <xf numFmtId="0" fontId="1" fillId="16" borderId="29" xfId="0" applyFont="1" applyFill="1" applyBorder="1" applyAlignment="1">
      <alignment horizontal="center"/>
    </xf>
    <xf numFmtId="0" fontId="17" fillId="16" borderId="32" xfId="0" applyFont="1" applyFill="1" applyBorder="1" applyAlignment="1">
      <alignment horizontal="center"/>
    </xf>
    <xf numFmtId="0" fontId="17" fillId="0" borderId="32" xfId="0" applyFont="1" applyBorder="1"/>
    <xf numFmtId="0" fontId="0" fillId="0" borderId="32" xfId="0" applyBorder="1"/>
    <xf numFmtId="0" fontId="29" fillId="15" borderId="0" xfId="0" applyFont="1" applyFill="1" applyAlignment="1">
      <alignment horizontal="left"/>
    </xf>
    <xf numFmtId="0" fontId="30" fillId="3" borderId="0" xfId="0" applyFont="1" applyFill="1"/>
    <xf numFmtId="165" fontId="6" fillId="14" borderId="18" xfId="4" applyNumberFormat="1" applyFont="1" applyFill="1" applyBorder="1"/>
    <xf numFmtId="165" fontId="6" fillId="14" borderId="22" xfId="4" applyNumberFormat="1" applyFont="1" applyFill="1" applyBorder="1"/>
    <xf numFmtId="165" fontId="0" fillId="14" borderId="18" xfId="0" applyNumberFormat="1" applyFill="1" applyBorder="1"/>
    <xf numFmtId="165" fontId="13" fillId="14" borderId="23" xfId="4" applyNumberFormat="1" applyFont="1" applyFill="1" applyBorder="1"/>
    <xf numFmtId="0" fontId="8" fillId="4" borderId="0" xfId="0" applyFont="1" applyFill="1" applyBorder="1" applyAlignment="1">
      <alignment horizontal="left"/>
    </xf>
    <xf numFmtId="43" fontId="8" fillId="4" borderId="0" xfId="1" applyFont="1" applyFill="1" applyBorder="1" applyAlignment="1">
      <alignment horizontal="right"/>
    </xf>
    <xf numFmtId="43" fontId="8" fillId="4" borderId="0" xfId="1" applyFont="1" applyFill="1" applyBorder="1"/>
    <xf numFmtId="0" fontId="0" fillId="0" borderId="0" xfId="0"/>
    <xf numFmtId="0" fontId="0" fillId="0" borderId="0" xfId="0"/>
    <xf numFmtId="165" fontId="6" fillId="14" borderId="18" xfId="4" applyNumberFormat="1" applyFont="1" applyFill="1" applyBorder="1" applyAlignment="1">
      <alignment horizontal="right"/>
    </xf>
    <xf numFmtId="0" fontId="1" fillId="16" borderId="0" xfId="0" applyFont="1" applyFill="1" applyBorder="1" applyAlignment="1">
      <alignment horizontal="center"/>
    </xf>
    <xf numFmtId="0" fontId="1" fillId="0" borderId="0" xfId="0" applyFont="1" applyBorder="1"/>
    <xf numFmtId="0" fontId="1" fillId="0" borderId="0" xfId="0" applyFont="1" applyAlignment="1">
      <alignment horizontal="left"/>
    </xf>
    <xf numFmtId="3" fontId="25" fillId="0" borderId="0" xfId="0" applyNumberFormat="1" applyFont="1" applyBorder="1"/>
    <xf numFmtId="10" fontId="25" fillId="0" borderId="0" xfId="4" applyNumberFormat="1" applyFont="1" applyBorder="1"/>
    <xf numFmtId="165" fontId="6" fillId="14" borderId="22" xfId="4" applyNumberFormat="1" applyFont="1" applyFill="1" applyBorder="1" applyAlignment="1">
      <alignment horizontal="right"/>
    </xf>
    <xf numFmtId="0" fontId="7" fillId="9" borderId="29" xfId="0" applyFont="1" applyFill="1" applyBorder="1"/>
    <xf numFmtId="0" fontId="8" fillId="9" borderId="29" xfId="0" applyFont="1" applyFill="1" applyBorder="1" applyAlignment="1">
      <alignment horizontal="right"/>
    </xf>
    <xf numFmtId="0" fontId="7" fillId="9" borderId="0" xfId="0" applyFont="1" applyFill="1"/>
    <xf numFmtId="0" fontId="8" fillId="0" borderId="24" xfId="0" applyFont="1" applyBorder="1" applyAlignment="1">
      <alignment horizontal="left"/>
    </xf>
    <xf numFmtId="0" fontId="8" fillId="9" borderId="24" xfId="0" applyFont="1" applyFill="1" applyBorder="1" applyAlignment="1">
      <alignment horizontal="right"/>
    </xf>
    <xf numFmtId="0" fontId="8" fillId="9" borderId="24" xfId="0" applyFont="1" applyFill="1" applyBorder="1" applyAlignment="1">
      <alignment horizontal="center"/>
    </xf>
    <xf numFmtId="2" fontId="7" fillId="9" borderId="0" xfId="0" applyNumberFormat="1" applyFont="1" applyFill="1" applyAlignment="1">
      <alignment horizontal="right"/>
    </xf>
    <xf numFmtId="2" fontId="7" fillId="9" borderId="0" xfId="0" applyNumberFormat="1" applyFont="1" applyFill="1" applyAlignment="1">
      <alignment horizontal="center"/>
    </xf>
    <xf numFmtId="3" fontId="7" fillId="9" borderId="0" xfId="0" applyNumberFormat="1" applyFont="1" applyFill="1" applyAlignment="1">
      <alignment horizontal="center"/>
    </xf>
    <xf numFmtId="43" fontId="7" fillId="9" borderId="0" xfId="1" applyFont="1" applyFill="1" applyAlignment="1">
      <alignment horizontal="center"/>
    </xf>
    <xf numFmtId="0" fontId="7" fillId="0" borderId="24" xfId="0" applyFont="1" applyBorder="1"/>
    <xf numFmtId="2" fontId="7" fillId="9" borderId="24" xfId="0" applyNumberFormat="1" applyFont="1" applyFill="1" applyBorder="1" applyAlignment="1">
      <alignment horizontal="right"/>
    </xf>
    <xf numFmtId="2" fontId="7" fillId="9" borderId="24" xfId="0" applyNumberFormat="1" applyFont="1" applyFill="1" applyBorder="1" applyAlignment="1">
      <alignment horizontal="center"/>
    </xf>
    <xf numFmtId="3" fontId="7" fillId="9" borderId="24" xfId="0" applyNumberFormat="1" applyFont="1" applyFill="1" applyBorder="1" applyAlignment="1">
      <alignment horizontal="center"/>
    </xf>
    <xf numFmtId="43" fontId="7" fillId="9" borderId="24" xfId="1" applyFont="1" applyFill="1" applyBorder="1" applyAlignment="1">
      <alignment horizontal="center"/>
    </xf>
    <xf numFmtId="0" fontId="7" fillId="9" borderId="0" xfId="0" applyFont="1" applyFill="1" applyBorder="1"/>
    <xf numFmtId="2" fontId="7" fillId="9" borderId="0" xfId="0" applyNumberFormat="1" applyFont="1" applyFill="1" applyBorder="1" applyAlignment="1">
      <alignment horizontal="center"/>
    </xf>
    <xf numFmtId="0" fontId="7" fillId="9" borderId="0" xfId="0" applyFont="1" applyFill="1" applyBorder="1" applyAlignment="1">
      <alignment horizontal="center"/>
    </xf>
    <xf numFmtId="43" fontId="7" fillId="9" borderId="0" xfId="1" applyFont="1" applyFill="1" applyBorder="1" applyAlignment="1">
      <alignment horizontal="center"/>
    </xf>
    <xf numFmtId="0" fontId="7" fillId="9" borderId="0" xfId="0" applyFont="1" applyFill="1" applyAlignment="1">
      <alignment horizontal="center"/>
    </xf>
    <xf numFmtId="44" fontId="7" fillId="9" borderId="0" xfId="2" applyFont="1" applyFill="1" applyAlignment="1">
      <alignment horizontal="center"/>
    </xf>
    <xf numFmtId="0" fontId="7" fillId="0" borderId="24" xfId="0" applyFont="1" applyBorder="1" applyAlignment="1">
      <alignment horizontal="right"/>
    </xf>
    <xf numFmtId="10" fontId="7" fillId="0" borderId="0" xfId="0" applyNumberFormat="1" applyFont="1" applyAlignment="1">
      <alignment horizontal="left"/>
    </xf>
    <xf numFmtId="43" fontId="7" fillId="0" borderId="0" xfId="0" applyNumberFormat="1" applyFont="1" applyAlignment="1">
      <alignment horizontal="right"/>
    </xf>
    <xf numFmtId="43" fontId="8" fillId="0" borderId="0" xfId="0" applyNumberFormat="1" applyFont="1" applyAlignment="1">
      <alignment horizontal="right"/>
    </xf>
    <xf numFmtId="44" fontId="8" fillId="0" borderId="0" xfId="2" applyFont="1" applyBorder="1"/>
    <xf numFmtId="43" fontId="7" fillId="0" borderId="0" xfId="1" applyFont="1" applyAlignment="1">
      <alignment horizontal="left"/>
    </xf>
    <xf numFmtId="0" fontId="31" fillId="13" borderId="0" xfId="0" applyFont="1" applyFill="1"/>
    <xf numFmtId="44" fontId="8" fillId="0" borderId="0" xfId="2" applyFont="1" applyAlignment="1">
      <alignment horizontal="right"/>
    </xf>
    <xf numFmtId="0" fontId="31" fillId="10" borderId="0" xfId="0" applyFont="1" applyFill="1"/>
    <xf numFmtId="0" fontId="31" fillId="10" borderId="0" xfId="0" applyFont="1" applyFill="1" applyAlignment="1">
      <alignment horizontal="center"/>
    </xf>
    <xf numFmtId="0" fontId="8" fillId="0" borderId="24" xfId="0" applyFont="1" applyBorder="1" applyAlignment="1">
      <alignment horizontal="right"/>
    </xf>
    <xf numFmtId="10" fontId="7" fillId="0" borderId="0" xfId="4" applyNumberFormat="1" applyFont="1"/>
    <xf numFmtId="43" fontId="7" fillId="0" borderId="0" xfId="0" applyNumberFormat="1" applyFont="1" applyAlignment="1">
      <alignment horizontal="center"/>
    </xf>
    <xf numFmtId="43" fontId="7" fillId="0" borderId="24" xfId="0" applyNumberFormat="1" applyFont="1" applyBorder="1"/>
    <xf numFmtId="10" fontId="7" fillId="0" borderId="24" xfId="4" applyNumberFormat="1" applyFont="1" applyBorder="1"/>
    <xf numFmtId="43" fontId="7" fillId="0" borderId="24" xfId="0" applyNumberFormat="1" applyFont="1" applyBorder="1" applyAlignment="1">
      <alignment horizontal="center"/>
    </xf>
    <xf numFmtId="43" fontId="8" fillId="0" borderId="0" xfId="0" applyNumberFormat="1" applyFont="1" applyAlignment="1">
      <alignment horizontal="center"/>
    </xf>
    <xf numFmtId="0" fontId="31" fillId="15" borderId="0" xfId="0" applyFont="1" applyFill="1"/>
    <xf numFmtId="0" fontId="8" fillId="11" borderId="24" xfId="0" applyFont="1" applyFill="1" applyBorder="1" applyAlignment="1">
      <alignment horizontal="right"/>
    </xf>
    <xf numFmtId="43" fontId="7" fillId="11" borderId="0" xfId="0" applyNumberFormat="1" applyFont="1" applyFill="1" applyAlignment="1">
      <alignment horizontal="center"/>
    </xf>
    <xf numFmtId="43" fontId="7" fillId="0" borderId="24" xfId="4" applyNumberFormat="1" applyFont="1" applyBorder="1"/>
    <xf numFmtId="43" fontId="7" fillId="0" borderId="24" xfId="1" applyFont="1" applyBorder="1"/>
    <xf numFmtId="43" fontId="7" fillId="11" borderId="24" xfId="0" applyNumberFormat="1" applyFont="1" applyFill="1" applyBorder="1" applyAlignment="1">
      <alignment horizontal="center"/>
    </xf>
    <xf numFmtId="44" fontId="8" fillId="0" borderId="0" xfId="2" applyFont="1"/>
    <xf numFmtId="0" fontId="31" fillId="18" borderId="0" xfId="0" applyFont="1" applyFill="1"/>
    <xf numFmtId="0" fontId="7" fillId="18" borderId="0" xfId="0" applyFont="1" applyFill="1"/>
    <xf numFmtId="49" fontId="7" fillId="0" borderId="0" xfId="0" applyNumberFormat="1" applyFont="1" applyAlignment="1">
      <alignment horizontal="center"/>
    </xf>
    <xf numFmtId="44" fontId="7" fillId="0" borderId="0" xfId="2" applyFont="1" applyAlignment="1">
      <alignment horizontal="left"/>
    </xf>
    <xf numFmtId="0" fontId="7" fillId="0" borderId="24" xfId="0" applyFont="1" applyBorder="1" applyAlignment="1">
      <alignment horizontal="left"/>
    </xf>
    <xf numFmtId="0" fontId="31" fillId="19" borderId="0" xfId="0" applyFont="1" applyFill="1"/>
    <xf numFmtId="0" fontId="31" fillId="20" borderId="0" xfId="0" applyFont="1" applyFill="1"/>
    <xf numFmtId="44" fontId="7" fillId="0" borderId="24" xfId="2" applyFont="1" applyBorder="1" applyAlignment="1">
      <alignment horizontal="left"/>
    </xf>
    <xf numFmtId="0" fontId="31" fillId="21" borderId="0" xfId="0" applyFont="1" applyFill="1"/>
    <xf numFmtId="0" fontId="31" fillId="22" borderId="0" xfId="0" applyFont="1" applyFill="1"/>
    <xf numFmtId="0" fontId="31" fillId="12" borderId="0" xfId="0" applyFont="1" applyFill="1" applyBorder="1"/>
    <xf numFmtId="0" fontId="7" fillId="12" borderId="0" xfId="0" applyFont="1" applyFill="1"/>
    <xf numFmtId="0" fontId="7" fillId="12" borderId="0" xfId="0" applyFont="1" applyFill="1" applyBorder="1"/>
    <xf numFmtId="0" fontId="8" fillId="12" borderId="0" xfId="0" applyFont="1" applyFill="1"/>
    <xf numFmtId="49" fontId="7" fillId="0" borderId="0" xfId="0" applyNumberFormat="1" applyFont="1" applyBorder="1" applyAlignment="1">
      <alignment horizontal="center"/>
    </xf>
    <xf numFmtId="44" fontId="7" fillId="0" borderId="0" xfId="2" applyFont="1" applyAlignment="1">
      <alignment horizontal="right"/>
    </xf>
    <xf numFmtId="44" fontId="7" fillId="0" borderId="0" xfId="2" applyFont="1" applyBorder="1" applyAlignment="1">
      <alignment horizontal="right"/>
    </xf>
    <xf numFmtId="44" fontId="7" fillId="0" borderId="0" xfId="2" applyFont="1" applyBorder="1" applyAlignment="1">
      <alignment horizontal="left"/>
    </xf>
    <xf numFmtId="0" fontId="31" fillId="23" borderId="0" xfId="0" applyFont="1" applyFill="1" applyBorder="1"/>
    <xf numFmtId="0" fontId="7" fillId="23" borderId="0" xfId="0" applyFont="1" applyFill="1"/>
    <xf numFmtId="0" fontId="7" fillId="23" borderId="0" xfId="0" applyFont="1" applyFill="1" applyBorder="1"/>
    <xf numFmtId="0" fontId="8" fillId="23" borderId="0" xfId="0" applyFont="1" applyFill="1"/>
    <xf numFmtId="49" fontId="31" fillId="24" borderId="0" xfId="0" applyNumberFormat="1" applyFont="1" applyFill="1" applyAlignment="1">
      <alignment horizontal="left"/>
    </xf>
    <xf numFmtId="49" fontId="31" fillId="24" borderId="0" xfId="0" applyNumberFormat="1" applyFont="1" applyFill="1" applyBorder="1" applyAlignment="1">
      <alignment horizontal="left"/>
    </xf>
    <xf numFmtId="0" fontId="7" fillId="24" borderId="0" xfId="0" applyFont="1" applyFill="1"/>
    <xf numFmtId="0" fontId="7" fillId="24" borderId="0" xfId="0" applyFont="1" applyFill="1" applyBorder="1"/>
    <xf numFmtId="49" fontId="7" fillId="0" borderId="0" xfId="0" applyNumberFormat="1" applyFont="1" applyAlignment="1">
      <alignment horizontal="left"/>
    </xf>
    <xf numFmtId="49" fontId="7" fillId="0" borderId="0" xfId="0" applyNumberFormat="1" applyFont="1" applyBorder="1" applyAlignment="1">
      <alignment horizontal="left"/>
    </xf>
    <xf numFmtId="49" fontId="31" fillId="21" borderId="0" xfId="0" applyNumberFormat="1" applyFont="1" applyFill="1" applyAlignment="1">
      <alignment horizontal="left"/>
    </xf>
    <xf numFmtId="49" fontId="31" fillId="21" borderId="0" xfId="0" applyNumberFormat="1" applyFont="1" applyFill="1" applyBorder="1" applyAlignment="1">
      <alignment horizontal="left"/>
    </xf>
    <xf numFmtId="0" fontId="7" fillId="21" borderId="0" xfId="0" applyFont="1" applyFill="1"/>
    <xf numFmtId="0" fontId="7" fillId="21" borderId="0" xfId="0" applyFont="1" applyFill="1" applyBorder="1"/>
    <xf numFmtId="44" fontId="7" fillId="0" borderId="0" xfId="2" applyFont="1" applyBorder="1"/>
    <xf numFmtId="49" fontId="31" fillId="25" borderId="0" xfId="0" applyNumberFormat="1" applyFont="1" applyFill="1" applyAlignment="1">
      <alignment horizontal="left"/>
    </xf>
    <xf numFmtId="49" fontId="31" fillId="25" borderId="0" xfId="0" applyNumberFormat="1" applyFont="1" applyFill="1" applyBorder="1" applyAlignment="1">
      <alignment horizontal="left"/>
    </xf>
    <xf numFmtId="49" fontId="31" fillId="26" borderId="0" xfId="0" applyNumberFormat="1" applyFont="1" applyFill="1" applyAlignment="1">
      <alignment horizontal="left"/>
    </xf>
    <xf numFmtId="49" fontId="31" fillId="26" borderId="0" xfId="0" applyNumberFormat="1" applyFont="1" applyFill="1" applyBorder="1" applyAlignment="1">
      <alignment horizontal="left"/>
    </xf>
    <xf numFmtId="0" fontId="26" fillId="0" borderId="0" xfId="0" applyFont="1" applyBorder="1" applyAlignment="1">
      <alignment horizontal="right"/>
    </xf>
    <xf numFmtId="49" fontId="31" fillId="27" borderId="0" xfId="0" applyNumberFormat="1" applyFont="1" applyFill="1" applyAlignment="1">
      <alignment horizontal="left"/>
    </xf>
    <xf numFmtId="49" fontId="31" fillId="27" borderId="0" xfId="0" applyNumberFormat="1" applyFont="1" applyFill="1" applyBorder="1" applyAlignment="1">
      <alignment horizontal="left"/>
    </xf>
    <xf numFmtId="49" fontId="31" fillId="5" borderId="0" xfId="0" applyNumberFormat="1" applyFont="1" applyFill="1" applyAlignment="1">
      <alignment horizontal="left"/>
    </xf>
    <xf numFmtId="49" fontId="31" fillId="5" borderId="0" xfId="0" applyNumberFormat="1" applyFont="1" applyFill="1" applyBorder="1" applyAlignment="1">
      <alignment horizontal="left"/>
    </xf>
    <xf numFmtId="0" fontId="32" fillId="12" borderId="0" xfId="0" applyFont="1" applyFill="1"/>
    <xf numFmtId="0" fontId="32" fillId="23" borderId="0" xfId="0" applyFont="1" applyFill="1"/>
    <xf numFmtId="49" fontId="32" fillId="24" borderId="0" xfId="0" applyNumberFormat="1" applyFont="1" applyFill="1" applyAlignment="1">
      <alignment horizontal="left"/>
    </xf>
    <xf numFmtId="49" fontId="32" fillId="21" borderId="0" xfId="0" applyNumberFormat="1" applyFont="1" applyFill="1" applyAlignment="1">
      <alignment horizontal="left"/>
    </xf>
    <xf numFmtId="49" fontId="32" fillId="25" borderId="0" xfId="0" applyNumberFormat="1" applyFont="1" applyFill="1" applyAlignment="1">
      <alignment horizontal="left"/>
    </xf>
    <xf numFmtId="49" fontId="32" fillId="26" borderId="0" xfId="0" applyNumberFormat="1" applyFont="1" applyFill="1" applyAlignment="1">
      <alignment horizontal="left"/>
    </xf>
    <xf numFmtId="49" fontId="32" fillId="27" borderId="0" xfId="0" applyNumberFormat="1" applyFont="1" applyFill="1" applyAlignment="1">
      <alignment horizontal="left"/>
    </xf>
    <xf numFmtId="49" fontId="32" fillId="5" borderId="0" xfId="0" applyNumberFormat="1" applyFont="1" applyFill="1" applyAlignment="1">
      <alignment horizontal="left"/>
    </xf>
    <xf numFmtId="0" fontId="32" fillId="22" borderId="0" xfId="0" applyFont="1" applyFill="1"/>
    <xf numFmtId="0" fontId="32" fillId="21" borderId="0" xfId="0" applyFont="1" applyFill="1"/>
    <xf numFmtId="0" fontId="32" fillId="20" borderId="0" xfId="0" applyFont="1" applyFill="1"/>
    <xf numFmtId="0" fontId="32" fillId="19" borderId="0" xfId="0" applyFont="1" applyFill="1"/>
    <xf numFmtId="0" fontId="32" fillId="13" borderId="0" xfId="0" applyFont="1" applyFill="1"/>
    <xf numFmtId="0" fontId="32" fillId="18" borderId="0" xfId="0" applyFont="1" applyFill="1"/>
    <xf numFmtId="43" fontId="6" fillId="0" borderId="0" xfId="1" applyFont="1" applyBorder="1" applyAlignment="1">
      <alignment horizontal="right"/>
    </xf>
    <xf numFmtId="43" fontId="6" fillId="0" borderId="0" xfId="1" applyFont="1" applyFill="1" applyBorder="1" applyAlignment="1">
      <alignment horizontal="right"/>
    </xf>
    <xf numFmtId="0" fontId="7" fillId="0" borderId="24" xfId="0" applyFont="1" applyBorder="1" applyAlignment="1">
      <alignment horizontal="center"/>
    </xf>
    <xf numFmtId="0" fontId="8" fillId="0" borderId="24" xfId="0" applyFont="1" applyBorder="1"/>
    <xf numFmtId="0" fontId="6" fillId="0" borderId="24" xfId="0" applyFont="1" applyBorder="1" applyAlignment="1">
      <alignment horizontal="right"/>
    </xf>
    <xf numFmtId="0" fontId="34" fillId="0" borderId="0" xfId="0" applyFont="1"/>
    <xf numFmtId="0" fontId="31" fillId="31" borderId="0" xfId="5" applyFont="1" applyFill="1"/>
    <xf numFmtId="0" fontId="23" fillId="31" borderId="0" xfId="5" applyFont="1" applyFill="1"/>
    <xf numFmtId="0" fontId="31" fillId="32" borderId="0" xfId="0" applyFont="1" applyFill="1"/>
    <xf numFmtId="0" fontId="31" fillId="32" borderId="0" xfId="0" applyFont="1" applyFill="1" applyAlignment="1">
      <alignment horizontal="center"/>
    </xf>
    <xf numFmtId="0" fontId="31" fillId="27" borderId="0" xfId="0" applyFont="1" applyFill="1"/>
    <xf numFmtId="0" fontId="31" fillId="33" borderId="0" xfId="0" applyFont="1" applyFill="1"/>
    <xf numFmtId="0" fontId="4" fillId="0" borderId="0" xfId="0" applyFont="1" applyBorder="1"/>
    <xf numFmtId="0" fontId="0" fillId="0" borderId="0" xfId="0" applyAlignment="1"/>
    <xf numFmtId="0" fontId="29" fillId="15" borderId="0" xfId="0" applyFont="1" applyFill="1" applyAlignment="1"/>
    <xf numFmtId="0" fontId="17" fillId="17" borderId="32" xfId="0" applyFont="1" applyFill="1" applyBorder="1" applyAlignment="1"/>
    <xf numFmtId="0" fontId="17" fillId="17" borderId="0" xfId="0" applyFont="1" applyFill="1" applyAlignment="1"/>
    <xf numFmtId="3" fontId="0" fillId="17" borderId="0" xfId="0" applyNumberFormat="1" applyFill="1" applyAlignment="1"/>
    <xf numFmtId="3" fontId="0" fillId="17" borderId="0" xfId="0" applyNumberFormat="1" applyFill="1" applyBorder="1" applyAlignment="1"/>
    <xf numFmtId="3" fontId="0" fillId="17" borderId="29" xfId="0" applyNumberFormat="1" applyFill="1" applyBorder="1" applyAlignment="1"/>
    <xf numFmtId="44" fontId="0" fillId="0" borderId="0" xfId="2" applyFont="1" applyAlignment="1"/>
    <xf numFmtId="3" fontId="1" fillId="0" borderId="0" xfId="0" applyNumberFormat="1" applyFont="1" applyAlignment="1"/>
    <xf numFmtId="0" fontId="29" fillId="15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0" fillId="0" borderId="32" xfId="0" applyBorder="1" applyAlignment="1">
      <alignment horizontal="right"/>
    </xf>
    <xf numFmtId="0" fontId="0" fillId="0" borderId="24" xfId="0" applyBorder="1" applyAlignment="1">
      <alignment horizontal="right"/>
    </xf>
    <xf numFmtId="3" fontId="0" fillId="0" borderId="0" xfId="0" applyNumberFormat="1" applyAlignment="1">
      <alignment horizontal="right"/>
    </xf>
    <xf numFmtId="3" fontId="25" fillId="0" borderId="0" xfId="0" applyNumberFormat="1" applyFont="1" applyBorder="1" applyAlignment="1">
      <alignment horizontal="right"/>
    </xf>
    <xf numFmtId="4" fontId="0" fillId="0" borderId="0" xfId="0" applyNumberFormat="1" applyFill="1" applyBorder="1" applyAlignment="1">
      <alignment horizontal="right"/>
    </xf>
    <xf numFmtId="0" fontId="1" fillId="30" borderId="33" xfId="0" applyFont="1" applyFill="1" applyBorder="1" applyAlignment="1">
      <alignment horizontal="center"/>
    </xf>
    <xf numFmtId="0" fontId="0" fillId="30" borderId="33" xfId="0" applyFill="1" applyBorder="1"/>
    <xf numFmtId="164" fontId="0" fillId="30" borderId="33" xfId="0" applyNumberFormat="1" applyFill="1" applyBorder="1" applyAlignment="1"/>
    <xf numFmtId="0" fontId="0" fillId="30" borderId="33" xfId="0" applyFill="1" applyBorder="1" applyAlignment="1"/>
    <xf numFmtId="164" fontId="0" fillId="30" borderId="33" xfId="0" applyNumberFormat="1" applyFill="1" applyBorder="1" applyAlignment="1">
      <alignment horizontal="right"/>
    </xf>
    <xf numFmtId="10" fontId="0" fillId="30" borderId="33" xfId="4" applyNumberFormat="1" applyFont="1" applyFill="1" applyBorder="1"/>
    <xf numFmtId="3" fontId="1" fillId="0" borderId="0" xfId="0" applyNumberFormat="1" applyFont="1" applyAlignment="1">
      <alignment horizontal="right"/>
    </xf>
    <xf numFmtId="3" fontId="1" fillId="0" borderId="0" xfId="0" applyNumberFormat="1" applyFont="1"/>
    <xf numFmtId="10" fontId="1" fillId="0" borderId="0" xfId="4" applyNumberFormat="1" applyFont="1"/>
    <xf numFmtId="3" fontId="1" fillId="0" borderId="0" xfId="0" applyNumberFormat="1" applyFont="1" applyBorder="1" applyAlignment="1">
      <alignment horizontal="right"/>
    </xf>
    <xf numFmtId="3" fontId="1" fillId="0" borderId="0" xfId="0" applyNumberFormat="1" applyFont="1" applyBorder="1"/>
    <xf numFmtId="10" fontId="1" fillId="0" borderId="0" xfId="4" applyNumberFormat="1" applyFont="1" applyBorder="1"/>
    <xf numFmtId="3" fontId="1" fillId="0" borderId="29" xfId="0" applyNumberFormat="1" applyFont="1" applyBorder="1" applyAlignment="1">
      <alignment horizontal="right"/>
    </xf>
    <xf numFmtId="3" fontId="1" fillId="0" borderId="29" xfId="0" applyNumberFormat="1" applyFont="1" applyBorder="1"/>
    <xf numFmtId="10" fontId="1" fillId="0" borderId="29" xfId="4" applyNumberFormat="1" applyFont="1" applyBorder="1"/>
    <xf numFmtId="0" fontId="13" fillId="28" borderId="0" xfId="0" applyFont="1" applyFill="1" applyBorder="1" applyAlignment="1">
      <alignment horizontal="left"/>
    </xf>
    <xf numFmtId="0" fontId="6" fillId="28" borderId="0" xfId="0" applyFont="1" applyFill="1" applyBorder="1"/>
    <xf numFmtId="0" fontId="6" fillId="28" borderId="0" xfId="0" applyFont="1" applyFill="1" applyBorder="1" applyAlignment="1">
      <alignment horizontal="right"/>
    </xf>
    <xf numFmtId="43" fontId="6" fillId="28" borderId="0" xfId="1" applyFont="1" applyFill="1" applyBorder="1" applyAlignment="1">
      <alignment horizontal="right"/>
    </xf>
    <xf numFmtId="43" fontId="6" fillId="28" borderId="0" xfId="1" applyFont="1" applyFill="1" applyBorder="1"/>
    <xf numFmtId="0" fontId="6" fillId="28" borderId="0" xfId="0" applyFont="1" applyFill="1" applyBorder="1" applyAlignment="1">
      <alignment horizontal="center"/>
    </xf>
    <xf numFmtId="0" fontId="25" fillId="28" borderId="0" xfId="0" applyFont="1" applyFill="1"/>
    <xf numFmtId="0" fontId="6" fillId="28" borderId="0" xfId="0" applyFont="1" applyFill="1"/>
    <xf numFmtId="0" fontId="23" fillId="34" borderId="0" xfId="5" applyFont="1" applyFill="1"/>
    <xf numFmtId="0" fontId="23" fillId="34" borderId="0" xfId="5" applyFont="1" applyFill="1" applyAlignment="1">
      <alignment horizontal="center"/>
    </xf>
    <xf numFmtId="0" fontId="7" fillId="34" borderId="29" xfId="0" applyFont="1" applyFill="1" applyBorder="1"/>
    <xf numFmtId="0" fontId="7" fillId="34" borderId="29" xfId="0" applyFont="1" applyFill="1" applyBorder="1" applyAlignment="1">
      <alignment horizontal="center"/>
    </xf>
    <xf numFmtId="0" fontId="8" fillId="34" borderId="29" xfId="0" applyFont="1" applyFill="1" applyBorder="1" applyAlignment="1">
      <alignment horizontal="center"/>
    </xf>
    <xf numFmtId="0" fontId="8" fillId="34" borderId="24" xfId="0" applyFont="1" applyFill="1" applyBorder="1"/>
    <xf numFmtId="0" fontId="8" fillId="34" borderId="24" xfId="0" applyFont="1" applyFill="1" applyBorder="1" applyAlignment="1">
      <alignment horizontal="center"/>
    </xf>
    <xf numFmtId="2" fontId="7" fillId="34" borderId="0" xfId="0" applyNumberFormat="1" applyFont="1" applyFill="1" applyAlignment="1">
      <alignment horizontal="center"/>
    </xf>
    <xf numFmtId="3" fontId="7" fillId="34" borderId="0" xfId="0" applyNumberFormat="1" applyFont="1" applyFill="1" applyAlignment="1">
      <alignment horizontal="center"/>
    </xf>
    <xf numFmtId="43" fontId="7" fillId="34" borderId="0" xfId="1" applyFont="1" applyFill="1" applyAlignment="1">
      <alignment horizontal="center"/>
    </xf>
    <xf numFmtId="2" fontId="7" fillId="34" borderId="24" xfId="0" applyNumberFormat="1" applyFont="1" applyFill="1" applyBorder="1" applyAlignment="1">
      <alignment horizontal="center"/>
    </xf>
    <xf numFmtId="3" fontId="7" fillId="34" borderId="24" xfId="0" applyNumberFormat="1" applyFont="1" applyFill="1" applyBorder="1" applyAlignment="1">
      <alignment horizontal="center"/>
    </xf>
    <xf numFmtId="43" fontId="7" fillId="34" borderId="24" xfId="1" applyFont="1" applyFill="1" applyBorder="1" applyAlignment="1">
      <alignment horizontal="center"/>
    </xf>
    <xf numFmtId="2" fontId="8" fillId="34" borderId="0" xfId="0" applyNumberFormat="1" applyFont="1" applyFill="1" applyAlignment="1">
      <alignment horizontal="center"/>
    </xf>
    <xf numFmtId="3" fontId="8" fillId="34" borderId="0" xfId="0" applyNumberFormat="1" applyFont="1" applyFill="1" applyAlignment="1">
      <alignment horizontal="center"/>
    </xf>
    <xf numFmtId="43" fontId="8" fillId="34" borderId="0" xfId="0" applyNumberFormat="1" applyFont="1" applyFill="1" applyAlignment="1">
      <alignment horizontal="center"/>
    </xf>
    <xf numFmtId="0" fontId="7" fillId="34" borderId="0" xfId="0" applyFont="1" applyFill="1"/>
    <xf numFmtId="0" fontId="7" fillId="34" borderId="0" xfId="0" applyFont="1" applyFill="1" applyAlignment="1">
      <alignment horizontal="center"/>
    </xf>
    <xf numFmtId="0" fontId="8" fillId="34" borderId="0" xfId="0" applyFont="1" applyFill="1" applyBorder="1" applyAlignment="1">
      <alignment horizontal="center"/>
    </xf>
    <xf numFmtId="2" fontId="7" fillId="34" borderId="0" xfId="0" applyNumberFormat="1" applyFont="1" applyFill="1" applyBorder="1" applyAlignment="1">
      <alignment horizontal="center"/>
    </xf>
    <xf numFmtId="0" fontId="7" fillId="34" borderId="0" xfId="0" applyFont="1" applyFill="1" applyBorder="1" applyAlignment="1">
      <alignment horizontal="center"/>
    </xf>
    <xf numFmtId="43" fontId="7" fillId="34" borderId="0" xfId="1" applyFont="1" applyFill="1" applyBorder="1" applyAlignment="1">
      <alignment horizontal="center"/>
    </xf>
    <xf numFmtId="0" fontId="35" fillId="0" borderId="0" xfId="0" applyFont="1"/>
    <xf numFmtId="0" fontId="35" fillId="0" borderId="0" xfId="0" applyFont="1" applyBorder="1"/>
    <xf numFmtId="0" fontId="7" fillId="0" borderId="12" xfId="0" applyFont="1" applyBorder="1"/>
    <xf numFmtId="0" fontId="7" fillId="0" borderId="17" xfId="0" applyFont="1" applyBorder="1"/>
    <xf numFmtId="0" fontId="7" fillId="0" borderId="21" xfId="0" applyFont="1" applyBorder="1"/>
    <xf numFmtId="0" fontId="36" fillId="3" borderId="13" xfId="0" applyFont="1" applyFill="1" applyBorder="1"/>
    <xf numFmtId="0" fontId="36" fillId="3" borderId="0" xfId="0" applyFont="1" applyFill="1" applyBorder="1"/>
    <xf numFmtId="167" fontId="36" fillId="3" borderId="18" xfId="2" applyNumberFormat="1" applyFont="1" applyFill="1" applyBorder="1"/>
    <xf numFmtId="0" fontId="37" fillId="0" borderId="0" xfId="0" applyFont="1"/>
    <xf numFmtId="0" fontId="37" fillId="0" borderId="13" xfId="0" applyFont="1" applyBorder="1"/>
    <xf numFmtId="0" fontId="37" fillId="0" borderId="0" xfId="0" applyFont="1" applyBorder="1"/>
    <xf numFmtId="0" fontId="37" fillId="0" borderId="18" xfId="0" applyFont="1" applyBorder="1"/>
    <xf numFmtId="0" fontId="38" fillId="13" borderId="13" xfId="0" applyFont="1" applyFill="1" applyBorder="1"/>
    <xf numFmtId="0" fontId="38" fillId="13" borderId="0" xfId="0" applyFont="1" applyFill="1" applyBorder="1"/>
    <xf numFmtId="0" fontId="38" fillId="13" borderId="18" xfId="0" applyFont="1" applyFill="1" applyBorder="1"/>
    <xf numFmtId="0" fontId="38" fillId="13" borderId="26" xfId="0" applyFont="1" applyFill="1" applyBorder="1"/>
    <xf numFmtId="0" fontId="38" fillId="13" borderId="24" xfId="0" applyFont="1" applyFill="1" applyBorder="1"/>
    <xf numFmtId="0" fontId="7" fillId="0" borderId="13" xfId="0" applyFont="1" applyBorder="1"/>
    <xf numFmtId="0" fontId="7" fillId="0" borderId="18" xfId="0" applyFont="1" applyBorder="1"/>
    <xf numFmtId="0" fontId="7" fillId="30" borderId="13" xfId="0" applyFont="1" applyFill="1" applyBorder="1"/>
    <xf numFmtId="0" fontId="7" fillId="30" borderId="0" xfId="0" applyFont="1" applyFill="1" applyBorder="1"/>
    <xf numFmtId="0" fontId="7" fillId="30" borderId="18" xfId="0" applyFont="1" applyFill="1" applyBorder="1"/>
    <xf numFmtId="44" fontId="7" fillId="30" borderId="18" xfId="2" applyFont="1" applyFill="1" applyBorder="1"/>
    <xf numFmtId="0" fontId="38" fillId="13" borderId="18" xfId="0" applyFont="1" applyFill="1" applyBorder="1" applyAlignment="1">
      <alignment horizontal="right"/>
    </xf>
    <xf numFmtId="0" fontId="38" fillId="13" borderId="22" xfId="0" applyFont="1" applyFill="1" applyBorder="1" applyAlignment="1">
      <alignment horizontal="right"/>
    </xf>
    <xf numFmtId="0" fontId="38" fillId="13" borderId="24" xfId="0" applyFont="1" applyFill="1" applyBorder="1" applyAlignment="1">
      <alignment horizontal="right"/>
    </xf>
    <xf numFmtId="0" fontId="38" fillId="13" borderId="0" xfId="0" applyFont="1" applyFill="1" applyBorder="1" applyAlignment="1">
      <alignment horizontal="right"/>
    </xf>
    <xf numFmtId="0" fontId="22" fillId="15" borderId="0" xfId="0" applyFont="1" applyFill="1"/>
    <xf numFmtId="0" fontId="35" fillId="8" borderId="0" xfId="0" applyFont="1" applyFill="1"/>
    <xf numFmtId="0" fontId="5" fillId="8" borderId="0" xfId="0" applyFont="1" applyFill="1" applyAlignment="1">
      <alignment horizontal="right"/>
    </xf>
    <xf numFmtId="0" fontId="5" fillId="8" borderId="0" xfId="0" applyFont="1" applyFill="1"/>
    <xf numFmtId="0" fontId="5" fillId="0" borderId="0" xfId="0" applyFont="1" applyAlignment="1">
      <alignment horizontal="right"/>
    </xf>
    <xf numFmtId="166" fontId="35" fillId="0" borderId="0" xfId="0" applyNumberFormat="1" applyFont="1"/>
    <xf numFmtId="0" fontId="35" fillId="0" borderId="0" xfId="0" applyFont="1" applyAlignment="1">
      <alignment horizontal="right"/>
    </xf>
    <xf numFmtId="43" fontId="35" fillId="0" borderId="0" xfId="1" applyFont="1"/>
    <xf numFmtId="0" fontId="35" fillId="16" borderId="31" xfId="0" applyFont="1" applyFill="1" applyBorder="1"/>
    <xf numFmtId="166" fontId="35" fillId="16" borderId="31" xfId="0" applyNumberFormat="1" applyFont="1" applyFill="1" applyBorder="1"/>
    <xf numFmtId="0" fontId="35" fillId="16" borderId="31" xfId="0" applyFont="1" applyFill="1" applyBorder="1" applyAlignment="1">
      <alignment horizontal="right"/>
    </xf>
    <xf numFmtId="43" fontId="35" fillId="16" borderId="31" xfId="1" applyFont="1" applyFill="1" applyBorder="1"/>
    <xf numFmtId="0" fontId="5" fillId="0" borderId="30" xfId="0" applyFont="1" applyBorder="1"/>
    <xf numFmtId="2" fontId="5" fillId="0" borderId="30" xfId="0" applyNumberFormat="1" applyFont="1" applyBorder="1"/>
    <xf numFmtId="166" fontId="5" fillId="0" borderId="30" xfId="0" applyNumberFormat="1" applyFont="1" applyBorder="1"/>
    <xf numFmtId="44" fontId="5" fillId="0" borderId="30" xfId="2" applyFont="1" applyBorder="1"/>
    <xf numFmtId="164" fontId="5" fillId="0" borderId="0" xfId="1" applyNumberFormat="1" applyFont="1"/>
    <xf numFmtId="164" fontId="5" fillId="16" borderId="31" xfId="1" applyNumberFormat="1" applyFont="1" applyFill="1" applyBorder="1"/>
    <xf numFmtId="0" fontId="39" fillId="15" borderId="0" xfId="0" applyFont="1" applyFill="1" applyAlignment="1">
      <alignment horizontal="left"/>
    </xf>
    <xf numFmtId="0" fontId="40" fillId="15" borderId="0" xfId="0" applyFont="1" applyFill="1" applyAlignment="1">
      <alignment horizontal="left"/>
    </xf>
    <xf numFmtId="0" fontId="41" fillId="0" borderId="0" xfId="0" applyFont="1"/>
    <xf numFmtId="0" fontId="42" fillId="30" borderId="26" xfId="0" applyFont="1" applyFill="1" applyBorder="1" applyAlignment="1">
      <alignment horizontal="right"/>
    </xf>
    <xf numFmtId="0" fontId="42" fillId="30" borderId="0" xfId="0" applyFont="1" applyFill="1" applyBorder="1"/>
    <xf numFmtId="164" fontId="42" fillId="30" borderId="24" xfId="1" applyNumberFormat="1" applyFont="1" applyFill="1" applyBorder="1"/>
    <xf numFmtId="9" fontId="42" fillId="30" borderId="22" xfId="4" applyNumberFormat="1" applyFont="1" applyFill="1" applyBorder="1"/>
    <xf numFmtId="0" fontId="42" fillId="0" borderId="0" xfId="0" applyFont="1"/>
    <xf numFmtId="164" fontId="43" fillId="30" borderId="24" xfId="1" applyNumberFormat="1" applyFont="1" applyFill="1" applyBorder="1"/>
    <xf numFmtId="164" fontId="41" fillId="30" borderId="13" xfId="0" applyNumberFormat="1" applyFont="1" applyFill="1" applyBorder="1"/>
    <xf numFmtId="0" fontId="41" fillId="30" borderId="0" xfId="0" applyFont="1" applyFill="1" applyBorder="1"/>
    <xf numFmtId="164" fontId="41" fillId="30" borderId="0" xfId="0" applyNumberFormat="1" applyFont="1" applyFill="1" applyBorder="1"/>
    <xf numFmtId="165" fontId="41" fillId="30" borderId="18" xfId="0" applyNumberFormat="1" applyFont="1" applyFill="1" applyBorder="1"/>
    <xf numFmtId="0" fontId="44" fillId="0" borderId="0" xfId="0" applyFont="1"/>
    <xf numFmtId="164" fontId="41" fillId="30" borderId="13" xfId="1" applyNumberFormat="1" applyFont="1" applyFill="1" applyBorder="1"/>
    <xf numFmtId="164" fontId="41" fillId="30" borderId="0" xfId="1" applyNumberFormat="1" applyFont="1" applyFill="1" applyBorder="1"/>
    <xf numFmtId="165" fontId="41" fillId="30" borderId="18" xfId="4" applyNumberFormat="1" applyFont="1" applyFill="1" applyBorder="1"/>
    <xf numFmtId="164" fontId="43" fillId="30" borderId="0" xfId="1" applyNumberFormat="1" applyFont="1" applyFill="1" applyBorder="1"/>
    <xf numFmtId="43" fontId="41" fillId="30" borderId="0" xfId="1" applyFont="1" applyFill="1" applyBorder="1"/>
    <xf numFmtId="0" fontId="45" fillId="15" borderId="0" xfId="0" applyFont="1" applyFill="1"/>
    <xf numFmtId="0" fontId="41" fillId="0" borderId="0" xfId="0" applyFont="1" applyAlignment="1">
      <alignment horizontal="center"/>
    </xf>
    <xf numFmtId="164" fontId="42" fillId="30" borderId="26" xfId="2" applyNumberFormat="1" applyFont="1" applyFill="1" applyBorder="1"/>
    <xf numFmtId="164" fontId="42" fillId="30" borderId="0" xfId="0" applyNumberFormat="1" applyFont="1" applyFill="1" applyBorder="1"/>
    <xf numFmtId="43" fontId="42" fillId="30" borderId="0" xfId="1" applyFont="1" applyFill="1" applyBorder="1"/>
    <xf numFmtId="0" fontId="41" fillId="30" borderId="16" xfId="0" applyFont="1" applyFill="1" applyBorder="1"/>
    <xf numFmtId="0" fontId="41" fillId="30" borderId="19" xfId="0" applyFont="1" applyFill="1" applyBorder="1"/>
    <xf numFmtId="0" fontId="41" fillId="30" borderId="20" xfId="0" applyFont="1" applyFill="1" applyBorder="1"/>
    <xf numFmtId="0" fontId="41" fillId="29" borderId="0" xfId="0" applyFont="1" applyFill="1"/>
    <xf numFmtId="0" fontId="46" fillId="29" borderId="0" xfId="0" applyFont="1" applyFill="1" applyAlignment="1">
      <alignment horizontal="right"/>
    </xf>
    <xf numFmtId="0" fontId="41" fillId="0" borderId="12" xfId="0" applyFont="1" applyBorder="1"/>
    <xf numFmtId="0" fontId="41" fillId="0" borderId="17" xfId="0" applyFont="1" applyBorder="1"/>
    <xf numFmtId="0" fontId="41" fillId="0" borderId="21" xfId="0" applyFont="1" applyBorder="1"/>
    <xf numFmtId="0" fontId="47" fillId="3" borderId="13" xfId="0" applyFont="1" applyFill="1" applyBorder="1"/>
    <xf numFmtId="0" fontId="47" fillId="3" borderId="0" xfId="0" applyFont="1" applyFill="1" applyBorder="1"/>
    <xf numFmtId="167" fontId="47" fillId="3" borderId="18" xfId="2" applyNumberFormat="1" applyFont="1" applyFill="1" applyBorder="1"/>
    <xf numFmtId="0" fontId="41" fillId="0" borderId="13" xfId="0" applyFont="1" applyBorder="1"/>
    <xf numFmtId="0" fontId="41" fillId="0" borderId="0" xfId="0" applyFont="1" applyBorder="1"/>
    <xf numFmtId="0" fontId="41" fillId="0" borderId="18" xfId="0" applyFont="1" applyBorder="1"/>
    <xf numFmtId="0" fontId="48" fillId="13" borderId="13" xfId="0" applyFont="1" applyFill="1" applyBorder="1"/>
    <xf numFmtId="0" fontId="48" fillId="13" borderId="0" xfId="0" applyFont="1" applyFill="1" applyBorder="1"/>
    <xf numFmtId="0" fontId="48" fillId="13" borderId="18" xfId="0" applyFont="1" applyFill="1" applyBorder="1"/>
    <xf numFmtId="0" fontId="48" fillId="13" borderId="26" xfId="0" applyFont="1" applyFill="1" applyBorder="1"/>
    <xf numFmtId="0" fontId="48" fillId="13" borderId="24" xfId="0" applyFont="1" applyFill="1" applyBorder="1"/>
    <xf numFmtId="0" fontId="48" fillId="13" borderId="24" xfId="0" applyFont="1" applyFill="1" applyBorder="1" applyAlignment="1">
      <alignment horizontal="right"/>
    </xf>
    <xf numFmtId="0" fontId="48" fillId="13" borderId="22" xfId="0" applyFont="1" applyFill="1" applyBorder="1" applyAlignment="1">
      <alignment horizontal="right"/>
    </xf>
    <xf numFmtId="9" fontId="42" fillId="30" borderId="22" xfId="0" applyNumberFormat="1" applyFont="1" applyFill="1" applyBorder="1"/>
    <xf numFmtId="167" fontId="44" fillId="0" borderId="0" xfId="0" applyNumberFormat="1" applyFont="1"/>
    <xf numFmtId="0" fontId="45" fillId="15" borderId="0" xfId="0" applyFont="1" applyFill="1" applyAlignment="1">
      <alignment horizontal="right"/>
    </xf>
    <xf numFmtId="164" fontId="41" fillId="0" borderId="0" xfId="0" applyNumberFormat="1" applyFont="1" applyAlignment="1">
      <alignment horizontal="right"/>
    </xf>
    <xf numFmtId="164" fontId="41" fillId="0" borderId="34" xfId="0" applyNumberFormat="1" applyFont="1" applyBorder="1" applyAlignment="1">
      <alignment horizontal="right"/>
    </xf>
    <xf numFmtId="43" fontId="8" fillId="0" borderId="0" xfId="0" applyNumberFormat="1" applyFont="1"/>
    <xf numFmtId="44" fontId="8" fillId="0" borderId="0" xfId="0" applyNumberFormat="1" applyFont="1" applyBorder="1" applyAlignment="1">
      <alignment horizontal="left"/>
    </xf>
    <xf numFmtId="44" fontId="7" fillId="0" borderId="0" xfId="0" applyNumberFormat="1" applyFont="1" applyBorder="1" applyAlignment="1">
      <alignment horizontal="left"/>
    </xf>
    <xf numFmtId="44" fontId="8" fillId="0" borderId="0" xfId="0" applyNumberFormat="1" applyFont="1" applyAlignment="1">
      <alignment horizontal="left"/>
    </xf>
    <xf numFmtId="43" fontId="7" fillId="0" borderId="0" xfId="0" applyNumberFormat="1" applyFont="1" applyAlignment="1">
      <alignment horizontal="left"/>
    </xf>
    <xf numFmtId="43" fontId="7" fillId="0" borderId="0" xfId="1" applyFont="1" applyBorder="1" applyAlignment="1">
      <alignment horizontal="left"/>
    </xf>
    <xf numFmtId="0" fontId="49" fillId="15" borderId="0" xfId="0" applyFont="1" applyFill="1"/>
    <xf numFmtId="0" fontId="35" fillId="35" borderId="0" xfId="0" applyFont="1" applyFill="1"/>
    <xf numFmtId="0" fontId="50" fillId="35" borderId="0" xfId="0" applyFont="1" applyFill="1" applyAlignment="1">
      <alignment horizontal="right"/>
    </xf>
    <xf numFmtId="164" fontId="15" fillId="0" borderId="0" xfId="0" applyNumberFormat="1" applyFont="1"/>
    <xf numFmtId="0" fontId="51" fillId="0" borderId="0" xfId="0" applyFont="1"/>
    <xf numFmtId="0" fontId="15" fillId="0" borderId="0" xfId="0" applyFont="1"/>
    <xf numFmtId="10" fontId="15" fillId="0" borderId="0" xfId="4" applyNumberFormat="1" applyFont="1"/>
    <xf numFmtId="0" fontId="31" fillId="36" borderId="0" xfId="0" applyFont="1" applyFill="1"/>
    <xf numFmtId="2" fontId="31" fillId="36" borderId="0" xfId="0" applyNumberFormat="1" applyFont="1" applyFill="1"/>
    <xf numFmtId="43" fontId="8" fillId="14" borderId="12" xfId="1" applyFont="1" applyFill="1" applyBorder="1" applyAlignment="1">
      <alignment horizontal="left"/>
    </xf>
    <xf numFmtId="165" fontId="7" fillId="0" borderId="0" xfId="4" applyNumberFormat="1" applyFont="1"/>
  </cellXfs>
  <cellStyles count="6">
    <cellStyle name="Bad" xfId="5" builtinId="27"/>
    <cellStyle name="Comma" xfId="1" builtinId="3"/>
    <cellStyle name="Currency" xfId="2" builtinId="4"/>
    <cellStyle name="Hyperlink" xfId="3" builtinId="8"/>
    <cellStyle name="Normal" xfId="0" builtinId="0"/>
    <cellStyle name="Percent" xfId="4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Operating</a:t>
            </a:r>
            <a:r>
              <a:rPr lang="en-US" baseline="0"/>
              <a:t> Expenses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Sheet1!$C$32</c:f>
              <c:strCache>
                <c:ptCount val="1"/>
                <c:pt idx="0">
                  <c:v>Salaries and Benefits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Sheet1!$D$31:$F$31</c:f>
              <c:strCache>
                <c:ptCount val="3"/>
                <c:pt idx="0">
                  <c:v>2014-2015</c:v>
                </c:pt>
                <c:pt idx="1">
                  <c:v>2015-2016</c:v>
                </c:pt>
                <c:pt idx="2">
                  <c:v>2016-2017</c:v>
                </c:pt>
              </c:strCache>
            </c:strRef>
          </c:cat>
          <c:val>
            <c:numRef>
              <c:f>Sheet1!$D$32:$F$32</c:f>
              <c:numCache>
                <c:formatCode>_(* #,##0.00_);_(* \(#,##0.00\);_(* "-"??_);_(@_)</c:formatCode>
                <c:ptCount val="3"/>
                <c:pt idx="0">
                  <c:v>279485.51000000007</c:v>
                </c:pt>
                <c:pt idx="1">
                  <c:v>375303.67</c:v>
                </c:pt>
                <c:pt idx="2">
                  <c:v>398716.33224712004</c:v>
                </c:pt>
              </c:numCache>
            </c:numRef>
          </c:val>
        </c:ser>
        <c:ser>
          <c:idx val="1"/>
          <c:order val="1"/>
          <c:tx>
            <c:strRef>
              <c:f>Sheet1!$C$33</c:f>
              <c:strCache>
                <c:ptCount val="1"/>
                <c:pt idx="0">
                  <c:v>Adminstrative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Sheet1!$D$31:$F$31</c:f>
              <c:strCache>
                <c:ptCount val="3"/>
                <c:pt idx="0">
                  <c:v>2014-2015</c:v>
                </c:pt>
                <c:pt idx="1">
                  <c:v>2015-2016</c:v>
                </c:pt>
                <c:pt idx="2">
                  <c:v>2016-2017</c:v>
                </c:pt>
              </c:strCache>
            </c:strRef>
          </c:cat>
          <c:val>
            <c:numRef>
              <c:f>Sheet1!$D$33:$F$33</c:f>
              <c:numCache>
                <c:formatCode>_(* #,##0.00_);_(* \(#,##0.00\);_(* "-"??_);_(@_)</c:formatCode>
                <c:ptCount val="3"/>
                <c:pt idx="0">
                  <c:v>42096.229999999996</c:v>
                </c:pt>
                <c:pt idx="1">
                  <c:v>37367</c:v>
                </c:pt>
                <c:pt idx="2">
                  <c:v>47966.25</c:v>
                </c:pt>
              </c:numCache>
            </c:numRef>
          </c:val>
        </c:ser>
        <c:ser>
          <c:idx val="2"/>
          <c:order val="2"/>
          <c:tx>
            <c:strRef>
              <c:f>Sheet1!$C$34</c:f>
              <c:strCache>
                <c:ptCount val="1"/>
                <c:pt idx="0">
                  <c:v>Services and Supplies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Sheet1!$D$31:$F$31</c:f>
              <c:strCache>
                <c:ptCount val="3"/>
                <c:pt idx="0">
                  <c:v>2014-2015</c:v>
                </c:pt>
                <c:pt idx="1">
                  <c:v>2015-2016</c:v>
                </c:pt>
                <c:pt idx="2">
                  <c:v>2016-2017</c:v>
                </c:pt>
              </c:strCache>
            </c:strRef>
          </c:cat>
          <c:val>
            <c:numRef>
              <c:f>Sheet1!$D$34:$F$34</c:f>
              <c:numCache>
                <c:formatCode>_(* #,##0.00_);_(* \(#,##0.00\);_(* "-"??_);_(@_)</c:formatCode>
                <c:ptCount val="3"/>
                <c:pt idx="0">
                  <c:v>53284.6</c:v>
                </c:pt>
                <c:pt idx="1">
                  <c:v>51583.75</c:v>
                </c:pt>
                <c:pt idx="2">
                  <c:v>78979.7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9"/>
        <c:overlap val="100"/>
        <c:axId val="283502976"/>
        <c:axId val="283504152"/>
      </c:barChart>
      <c:catAx>
        <c:axId val="28350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3504152"/>
        <c:crosses val="autoZero"/>
        <c:auto val="1"/>
        <c:lblAlgn val="ctr"/>
        <c:lblOffset val="100"/>
        <c:noMultiLvlLbl val="0"/>
      </c:catAx>
      <c:valAx>
        <c:axId val="283504152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3502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Operating</a:t>
            </a:r>
            <a:r>
              <a:rPr lang="en-US" baseline="0"/>
              <a:t> Expenses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Sheet1!$C$32</c:f>
              <c:strCache>
                <c:ptCount val="1"/>
                <c:pt idx="0">
                  <c:v>Salaries and Benefits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Sheet1!$D$31:$F$31</c:f>
              <c:strCache>
                <c:ptCount val="3"/>
                <c:pt idx="0">
                  <c:v>2014-2015</c:v>
                </c:pt>
                <c:pt idx="1">
                  <c:v>2015-2016</c:v>
                </c:pt>
                <c:pt idx="2">
                  <c:v>2016-2017</c:v>
                </c:pt>
              </c:strCache>
            </c:strRef>
          </c:cat>
          <c:val>
            <c:numRef>
              <c:f>Sheet1!$D$32:$F$32</c:f>
              <c:numCache>
                <c:formatCode>_(* #,##0.00_);_(* \(#,##0.00\);_(* "-"??_);_(@_)</c:formatCode>
                <c:ptCount val="3"/>
                <c:pt idx="0">
                  <c:v>279485.51000000007</c:v>
                </c:pt>
                <c:pt idx="1">
                  <c:v>375303.67</c:v>
                </c:pt>
                <c:pt idx="2">
                  <c:v>398716.33224712004</c:v>
                </c:pt>
              </c:numCache>
            </c:numRef>
          </c:val>
        </c:ser>
        <c:ser>
          <c:idx val="1"/>
          <c:order val="1"/>
          <c:tx>
            <c:strRef>
              <c:f>Sheet1!$C$33</c:f>
              <c:strCache>
                <c:ptCount val="1"/>
                <c:pt idx="0">
                  <c:v>Adminstrative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Sheet1!$D$31:$F$31</c:f>
              <c:strCache>
                <c:ptCount val="3"/>
                <c:pt idx="0">
                  <c:v>2014-2015</c:v>
                </c:pt>
                <c:pt idx="1">
                  <c:v>2015-2016</c:v>
                </c:pt>
                <c:pt idx="2">
                  <c:v>2016-2017</c:v>
                </c:pt>
              </c:strCache>
            </c:strRef>
          </c:cat>
          <c:val>
            <c:numRef>
              <c:f>Sheet1!$D$33:$F$33</c:f>
              <c:numCache>
                <c:formatCode>_(* #,##0.00_);_(* \(#,##0.00\);_(* "-"??_);_(@_)</c:formatCode>
                <c:ptCount val="3"/>
                <c:pt idx="0">
                  <c:v>42096.229999999996</c:v>
                </c:pt>
                <c:pt idx="1">
                  <c:v>37367</c:v>
                </c:pt>
                <c:pt idx="2">
                  <c:v>47966.25</c:v>
                </c:pt>
              </c:numCache>
            </c:numRef>
          </c:val>
        </c:ser>
        <c:ser>
          <c:idx val="2"/>
          <c:order val="2"/>
          <c:tx>
            <c:strRef>
              <c:f>Sheet1!$C$34</c:f>
              <c:strCache>
                <c:ptCount val="1"/>
                <c:pt idx="0">
                  <c:v>Services and Supplies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Sheet1!$D$31:$F$31</c:f>
              <c:strCache>
                <c:ptCount val="3"/>
                <c:pt idx="0">
                  <c:v>2014-2015</c:v>
                </c:pt>
                <c:pt idx="1">
                  <c:v>2015-2016</c:v>
                </c:pt>
                <c:pt idx="2">
                  <c:v>2016-2017</c:v>
                </c:pt>
              </c:strCache>
            </c:strRef>
          </c:cat>
          <c:val>
            <c:numRef>
              <c:f>Sheet1!$D$34:$F$34</c:f>
              <c:numCache>
                <c:formatCode>_(* #,##0.00_);_(* \(#,##0.00\);_(* "-"??_);_(@_)</c:formatCode>
                <c:ptCount val="3"/>
                <c:pt idx="0">
                  <c:v>53284.6</c:v>
                </c:pt>
                <c:pt idx="1">
                  <c:v>51583.75</c:v>
                </c:pt>
                <c:pt idx="2">
                  <c:v>78979.7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9"/>
        <c:overlap val="100"/>
        <c:axId val="283504936"/>
        <c:axId val="283503368"/>
      </c:barChart>
      <c:catAx>
        <c:axId val="283504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3503368"/>
        <c:crosses val="autoZero"/>
        <c:auto val="1"/>
        <c:lblAlgn val="ctr"/>
        <c:lblOffset val="100"/>
        <c:noMultiLvlLbl val="0"/>
      </c:catAx>
      <c:valAx>
        <c:axId val="283503368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3504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'BayAreaLAFCO-Comparison'!$S$4:$S$5</c:f>
              <c:strCache>
                <c:ptCount val="2"/>
                <c:pt idx="0">
                  <c:v>2015-16</c:v>
                </c:pt>
                <c:pt idx="1">
                  <c:v>Adopted Budget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1"/>
              <c:layout>
                <c:manualLayout>
                  <c:x val="-0.1093657907020285"/>
                  <c:y val="0.192581471531135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8815116233453069"/>
                  <c:y val="-3.37086559041239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0940690036216436"/>
                  <c:y val="-0.152022539234322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7.3737340280161157E-2"/>
                  <c:y val="-0.11456648911108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2730575990542595"/>
                  <c:y val="-7.361908397320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3136948820083424"/>
                  <c:y val="4.7046003618170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1895311582308023"/>
                  <c:y val="0.15389989184639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5554889970581875E-2"/>
                  <c:y val="0.153584654496354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val>
            <c:numRef>
              <c:f>'BayAreaLAFCO-Comparison'!$S$6:$S$14</c:f>
              <c:numCache>
                <c:formatCode>_(* #,##0_);_(* \(#,##0\);_(* "-"??_);_(@_)</c:formatCode>
                <c:ptCount val="9"/>
                <c:pt idx="1">
                  <c:v>819843</c:v>
                </c:pt>
                <c:pt idx="2">
                  <c:v>813730</c:v>
                </c:pt>
                <c:pt idx="3">
                  <c:v>686337</c:v>
                </c:pt>
                <c:pt idx="4">
                  <c:v>596975</c:v>
                </c:pt>
                <c:pt idx="5">
                  <c:v>526684</c:v>
                </c:pt>
                <c:pt idx="6">
                  <c:v>464254</c:v>
                </c:pt>
                <c:pt idx="7">
                  <c:v>421406</c:v>
                </c:pt>
                <c:pt idx="8">
                  <c:v>394235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80596</xdr:colOff>
      <xdr:row>2</xdr:row>
      <xdr:rowOff>0</xdr:rowOff>
    </xdr:from>
    <xdr:to>
      <xdr:col>23</xdr:col>
      <xdr:colOff>10584</xdr:colOff>
      <xdr:row>2</xdr:row>
      <xdr:rowOff>10583</xdr:rowOff>
    </xdr:to>
    <xdr:cxnSp macro="">
      <xdr:nvCxnSpPr>
        <xdr:cNvPr id="12" name="Straight Connector 11"/>
        <xdr:cNvCxnSpPr/>
      </xdr:nvCxnSpPr>
      <xdr:spPr>
        <a:xfrm>
          <a:off x="2202554" y="275167"/>
          <a:ext cx="6645113" cy="10583"/>
        </a:xfrm>
        <a:prstGeom prst="line">
          <a:avLst/>
        </a:prstGeom>
        <a:ln w="28575">
          <a:solidFill>
            <a:schemeClr val="tx2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5292</xdr:colOff>
      <xdr:row>1</xdr:row>
      <xdr:rowOff>22679</xdr:rowOff>
    </xdr:from>
    <xdr:to>
      <xdr:col>23</xdr:col>
      <xdr:colOff>20411</xdr:colOff>
      <xdr:row>3</xdr:row>
      <xdr:rowOff>115661</xdr:rowOff>
    </xdr:to>
    <xdr:sp macro="" textlink="">
      <xdr:nvSpPr>
        <xdr:cNvPr id="6" name="Rectangle 5"/>
        <xdr:cNvSpPr/>
      </xdr:nvSpPr>
      <xdr:spPr>
        <a:xfrm>
          <a:off x="5292" y="29483"/>
          <a:ext cx="9111494" cy="59644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n-US" sz="1400" b="1">
              <a:latin typeface="Franklin Gothic Demi" pitchFamily="34" charset="0"/>
            </a:rPr>
            <a:t>               </a:t>
          </a:r>
          <a:r>
            <a:rPr lang="en-US" sz="1550" b="1">
              <a:latin typeface="Franklin Gothic Demi" pitchFamily="34" charset="0"/>
            </a:rPr>
            <a:t>MARIN LOCAL AGENCY</a:t>
          </a:r>
          <a:r>
            <a:rPr lang="en-US" sz="1550" b="1" baseline="0">
              <a:latin typeface="Franklin Gothic Demi" pitchFamily="34" charset="0"/>
            </a:rPr>
            <a:t> FORMATION COMMISSION </a:t>
          </a:r>
        </a:p>
        <a:p>
          <a:pPr algn="l"/>
          <a:r>
            <a:rPr lang="en-US" sz="1350" b="0" baseline="0">
              <a:latin typeface="Franklin Gothic Demi" pitchFamily="34" charset="0"/>
            </a:rPr>
            <a:t>               Regional Service Planning / Subdivision of the State of California </a:t>
          </a:r>
          <a:endParaRPr lang="en-US" sz="1350" b="0">
            <a:latin typeface="Franklin Gothic Demi" pitchFamily="34" charset="0"/>
          </a:endParaRPr>
        </a:p>
      </xdr:txBody>
    </xdr:sp>
    <xdr:clientData/>
  </xdr:twoCellAnchor>
  <xdr:twoCellAnchor>
    <xdr:from>
      <xdr:col>1</xdr:col>
      <xdr:colOff>311727</xdr:colOff>
      <xdr:row>2</xdr:row>
      <xdr:rowOff>50720</xdr:rowOff>
    </xdr:from>
    <xdr:to>
      <xdr:col>22</xdr:col>
      <xdr:colOff>217720</xdr:colOff>
      <xdr:row>2</xdr:row>
      <xdr:rowOff>51955</xdr:rowOff>
    </xdr:to>
    <xdr:cxnSp macro="">
      <xdr:nvCxnSpPr>
        <xdr:cNvPr id="8" name="Straight Connector 7"/>
        <xdr:cNvCxnSpPr/>
      </xdr:nvCxnSpPr>
      <xdr:spPr>
        <a:xfrm flipV="1">
          <a:off x="768927" y="326945"/>
          <a:ext cx="10373968" cy="1235"/>
        </a:xfrm>
        <a:prstGeom prst="line">
          <a:avLst/>
        </a:prstGeom>
        <a:ln w="190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34636</xdr:colOff>
      <xdr:row>1</xdr:row>
      <xdr:rowOff>43296</xdr:rowOff>
    </xdr:from>
    <xdr:to>
      <xdr:col>1</xdr:col>
      <xdr:colOff>251113</xdr:colOff>
      <xdr:row>3</xdr:row>
      <xdr:rowOff>95251</xdr:rowOff>
    </xdr:to>
    <xdr:pic>
      <xdr:nvPicPr>
        <xdr:cNvPr id="15" name="Picture 14" descr="Marin_LAFCO_CMYK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636" y="51955"/>
          <a:ext cx="675409" cy="562841"/>
        </a:xfrm>
        <a:prstGeom prst="rect">
          <a:avLst/>
        </a:prstGeom>
      </xdr:spPr>
    </xdr:pic>
    <xdr:clientData/>
  </xdr:twoCellAnchor>
  <xdr:twoCellAnchor>
    <xdr:from>
      <xdr:col>26</xdr:col>
      <xdr:colOff>0</xdr:colOff>
      <xdr:row>42</xdr:row>
      <xdr:rowOff>119061</xdr:rowOff>
    </xdr:from>
    <xdr:to>
      <xdr:col>26</xdr:col>
      <xdr:colOff>38100</xdr:colOff>
      <xdr:row>68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11</xdr:col>
      <xdr:colOff>85725</xdr:colOff>
      <xdr:row>22</xdr:row>
      <xdr:rowOff>52389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1</xdr:rowOff>
    </xdr:from>
    <xdr:to>
      <xdr:col>0</xdr:col>
      <xdr:colOff>571501</xdr:colOff>
      <xdr:row>2</xdr:row>
      <xdr:rowOff>146287</xdr:rowOff>
    </xdr:to>
    <xdr:pic>
      <xdr:nvPicPr>
        <xdr:cNvPr id="6" name="Picture 5" descr="Marin_LAFCO_CMYK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1" y="1"/>
          <a:ext cx="552450" cy="463786"/>
        </a:xfrm>
        <a:prstGeom prst="rect">
          <a:avLst/>
        </a:prstGeom>
      </xdr:spPr>
    </xdr:pic>
    <xdr:clientData/>
  </xdr:twoCellAnchor>
  <xdr:twoCellAnchor>
    <xdr:from>
      <xdr:col>0</xdr:col>
      <xdr:colOff>571501</xdr:colOff>
      <xdr:row>0</xdr:row>
      <xdr:rowOff>9526</xdr:rowOff>
    </xdr:from>
    <xdr:to>
      <xdr:col>19</xdr:col>
      <xdr:colOff>1</xdr:colOff>
      <xdr:row>3</xdr:row>
      <xdr:rowOff>0</xdr:rowOff>
    </xdr:to>
    <xdr:sp macro="" textlink="">
      <xdr:nvSpPr>
        <xdr:cNvPr id="7" name="TextBox 6"/>
        <xdr:cNvSpPr txBox="1"/>
      </xdr:nvSpPr>
      <xdr:spPr>
        <a:xfrm>
          <a:off x="571501" y="9526"/>
          <a:ext cx="8477250" cy="466724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chemeClr val="bg1"/>
              </a:solidFill>
              <a:latin typeface="Bookman Old Style" panose="02050604050505020204" pitchFamily="18" charset="0"/>
            </a:rPr>
            <a:t>MARIN LOCAL AGENCY FORMATION COMMISSION </a:t>
          </a:r>
        </a:p>
        <a:p>
          <a:r>
            <a:rPr lang="en-US" sz="1200">
              <a:solidFill>
                <a:schemeClr val="bg1"/>
              </a:solidFill>
              <a:latin typeface="Bookman Old Style" panose="02050604050505020204" pitchFamily="18" charset="0"/>
            </a:rPr>
            <a:t>Regional</a:t>
          </a:r>
          <a:r>
            <a:rPr lang="en-US" sz="1200" baseline="0">
              <a:solidFill>
                <a:schemeClr val="bg1"/>
              </a:solidFill>
              <a:latin typeface="Bookman Old Style" panose="02050604050505020204" pitchFamily="18" charset="0"/>
            </a:rPr>
            <a:t> Service Planning / State of California </a:t>
          </a:r>
          <a:endParaRPr lang="en-US" sz="1200">
            <a:solidFill>
              <a:schemeClr val="bg1"/>
            </a:solidFill>
            <a:latin typeface="Bookman Old Style" panose="02050604050505020204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5</xdr:row>
      <xdr:rowOff>38100</xdr:rowOff>
    </xdr:from>
    <xdr:to>
      <xdr:col>8</xdr:col>
      <xdr:colOff>228600</xdr:colOff>
      <xdr:row>20</xdr:row>
      <xdr:rowOff>114300</xdr:rowOff>
    </xdr:to>
    <xdr:cxnSp macro="">
      <xdr:nvCxnSpPr>
        <xdr:cNvPr id="3" name="Straight Connector 2"/>
        <xdr:cNvCxnSpPr/>
      </xdr:nvCxnSpPr>
      <xdr:spPr>
        <a:xfrm flipH="1">
          <a:off x="4610100" y="733425"/>
          <a:ext cx="19050" cy="2505075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9524</xdr:colOff>
      <xdr:row>8</xdr:row>
      <xdr:rowOff>9524</xdr:rowOff>
    </xdr:from>
    <xdr:to>
      <xdr:col>13</xdr:col>
      <xdr:colOff>247650</xdr:colOff>
      <xdr:row>17</xdr:row>
      <xdr:rowOff>85724</xdr:rowOff>
    </xdr:to>
    <xdr:sp macro="" textlink="">
      <xdr:nvSpPr>
        <xdr:cNvPr id="4" name="TextBox 3"/>
        <xdr:cNvSpPr txBox="1"/>
      </xdr:nvSpPr>
      <xdr:spPr>
        <a:xfrm>
          <a:off x="4838699" y="1190624"/>
          <a:ext cx="2676526" cy="1533525"/>
        </a:xfrm>
        <a:prstGeom prst="rect">
          <a:avLst/>
        </a:prstGeom>
        <a:solidFill>
          <a:schemeClr val="lt1"/>
        </a:solidFill>
        <a:ln w="2857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FY2001 marks enactment of CKH and new LAFCO planning responsibilities </a:t>
          </a:r>
        </a:p>
        <a:p>
          <a:endParaRPr lang="en-US" sz="1100"/>
        </a:p>
        <a:p>
          <a:r>
            <a:rPr lang="en-US" sz="1100"/>
            <a:t>operating</a:t>
          </a:r>
          <a:r>
            <a:rPr lang="en-US" sz="1100" baseline="0"/>
            <a:t> budget has increased by 42.7% between FY2001 and FY2016</a:t>
          </a:r>
        </a:p>
        <a:p>
          <a:endParaRPr lang="en-US" sz="1100" baseline="0"/>
        </a:p>
        <a:p>
          <a:r>
            <a:rPr lang="en-US" sz="1100" baseline="0"/>
            <a:t>corresponding change in Bay Area CPI between 2001 and 2016 has been 43.5%</a:t>
          </a:r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83223</xdr:colOff>
      <xdr:row>17</xdr:row>
      <xdr:rowOff>1826</xdr:rowOff>
    </xdr:from>
    <xdr:to>
      <xdr:col>12</xdr:col>
      <xdr:colOff>27903</xdr:colOff>
      <xdr:row>32</xdr:row>
      <xdr:rowOff>49067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519165</xdr:colOff>
      <xdr:row>23</xdr:row>
      <xdr:rowOff>119419</xdr:rowOff>
    </xdr:from>
    <xdr:to>
      <xdr:col>8</xdr:col>
      <xdr:colOff>108724</xdr:colOff>
      <xdr:row>25</xdr:row>
      <xdr:rowOff>32827</xdr:rowOff>
    </xdr:to>
    <xdr:sp macro="" textlink="">
      <xdr:nvSpPr>
        <xdr:cNvPr id="7" name="TextBox 1"/>
        <xdr:cNvSpPr txBox="1"/>
      </xdr:nvSpPr>
      <xdr:spPr>
        <a:xfrm>
          <a:off x="2434632" y="3835216"/>
          <a:ext cx="908405" cy="227419"/>
        </a:xfrm>
        <a:prstGeom prst="rect">
          <a:avLst/>
        </a:prstGeom>
        <a:noFill/>
        <a:ln>
          <a:noFill/>
        </a:ln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700" b="1">
              <a:solidFill>
                <a:schemeClr val="bg1"/>
              </a:solidFill>
            </a:rPr>
            <a:t>CONTRA COSTA</a:t>
          </a:r>
        </a:p>
      </xdr:txBody>
    </xdr:sp>
    <xdr:clientData/>
  </xdr:twoCellAnchor>
  <xdr:twoCellAnchor>
    <xdr:from>
      <xdr:col>4</xdr:col>
      <xdr:colOff>398319</xdr:colOff>
      <xdr:row>20</xdr:row>
      <xdr:rowOff>112567</xdr:rowOff>
    </xdr:from>
    <xdr:to>
      <xdr:col>7</xdr:col>
      <xdr:colOff>74469</xdr:colOff>
      <xdr:row>22</xdr:row>
      <xdr:rowOff>25977</xdr:rowOff>
    </xdr:to>
    <xdr:sp macro="" textlink="">
      <xdr:nvSpPr>
        <xdr:cNvPr id="8" name="TextBox 1"/>
        <xdr:cNvSpPr txBox="1"/>
      </xdr:nvSpPr>
      <xdr:spPr>
        <a:xfrm>
          <a:off x="2311978" y="3437658"/>
          <a:ext cx="914400" cy="242455"/>
        </a:xfrm>
        <a:prstGeom prst="rect">
          <a:avLst/>
        </a:prstGeom>
        <a:noFill/>
        <a:ln>
          <a:noFill/>
        </a:ln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700" b="1">
              <a:solidFill>
                <a:schemeClr val="bg1"/>
              </a:solidFill>
            </a:rPr>
            <a:t>SANTA CLARA</a:t>
          </a:r>
        </a:p>
      </xdr:txBody>
    </xdr:sp>
    <xdr:clientData/>
  </xdr:twoCellAnchor>
  <xdr:twoCellAnchor>
    <xdr:from>
      <xdr:col>2</xdr:col>
      <xdr:colOff>1139922</xdr:colOff>
      <xdr:row>3</xdr:row>
      <xdr:rowOff>152808</xdr:rowOff>
    </xdr:from>
    <xdr:to>
      <xdr:col>4</xdr:col>
      <xdr:colOff>350580</xdr:colOff>
      <xdr:row>5</xdr:row>
      <xdr:rowOff>68544</xdr:rowOff>
    </xdr:to>
    <xdr:sp macro="" textlink="">
      <xdr:nvSpPr>
        <xdr:cNvPr id="9" name="TextBox 1"/>
        <xdr:cNvSpPr txBox="1"/>
      </xdr:nvSpPr>
      <xdr:spPr>
        <a:xfrm>
          <a:off x="1347397" y="713934"/>
          <a:ext cx="912898" cy="236380"/>
        </a:xfrm>
        <a:prstGeom prst="rect">
          <a:avLst/>
        </a:prstGeom>
        <a:noFill/>
        <a:ln>
          <a:noFill/>
        </a:ln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700" b="1">
              <a:solidFill>
                <a:schemeClr val="bg1"/>
              </a:solidFill>
            </a:rPr>
            <a:t>SOLANO</a:t>
          </a:r>
        </a:p>
      </xdr:txBody>
    </xdr:sp>
    <xdr:clientData/>
  </xdr:twoCellAnchor>
  <xdr:twoCellAnchor>
    <xdr:from>
      <xdr:col>4</xdr:col>
      <xdr:colOff>389661</xdr:colOff>
      <xdr:row>26</xdr:row>
      <xdr:rowOff>129887</xdr:rowOff>
    </xdr:from>
    <xdr:to>
      <xdr:col>7</xdr:col>
      <xdr:colOff>65811</xdr:colOff>
      <xdr:row>28</xdr:row>
      <xdr:rowOff>43295</xdr:rowOff>
    </xdr:to>
    <xdr:sp macro="" textlink="">
      <xdr:nvSpPr>
        <xdr:cNvPr id="10" name="TextBox 1"/>
        <xdr:cNvSpPr txBox="1"/>
      </xdr:nvSpPr>
      <xdr:spPr>
        <a:xfrm>
          <a:off x="2303320" y="4442114"/>
          <a:ext cx="914400" cy="242454"/>
        </a:xfrm>
        <a:prstGeom prst="rect">
          <a:avLst/>
        </a:prstGeom>
        <a:noFill/>
        <a:ln>
          <a:noFill/>
        </a:ln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700" b="1">
              <a:solidFill>
                <a:schemeClr val="bg1"/>
              </a:solidFill>
            </a:rPr>
            <a:t>ALAMEDA</a:t>
          </a:r>
        </a:p>
      </xdr:txBody>
    </xdr:sp>
    <xdr:clientData/>
  </xdr:twoCellAnchor>
  <xdr:twoCellAnchor>
    <xdr:from>
      <xdr:col>0</xdr:col>
      <xdr:colOff>0</xdr:colOff>
      <xdr:row>17</xdr:row>
      <xdr:rowOff>77931</xdr:rowOff>
    </xdr:from>
    <xdr:to>
      <xdr:col>2</xdr:col>
      <xdr:colOff>1584614</xdr:colOff>
      <xdr:row>22</xdr:row>
      <xdr:rowOff>86591</xdr:rowOff>
    </xdr:to>
    <xdr:sp macro="" textlink="">
      <xdr:nvSpPr>
        <xdr:cNvPr id="11" name="TextBox 10"/>
        <xdr:cNvSpPr txBox="1"/>
      </xdr:nvSpPr>
      <xdr:spPr>
        <a:xfrm>
          <a:off x="0" y="2909454"/>
          <a:ext cx="1792432" cy="8312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200" b="1"/>
            <a:t>BAY AREA LAFCOS</a:t>
          </a:r>
        </a:p>
        <a:p>
          <a:pPr algn="ctr"/>
          <a:r>
            <a:rPr lang="en-US" sz="1200" b="1"/>
            <a:t>ADOPTED BUDGETS</a:t>
          </a:r>
        </a:p>
        <a:p>
          <a:pPr algn="ctr"/>
          <a:r>
            <a:rPr lang="en-US" sz="1200" b="1"/>
            <a:t>2015-2016</a:t>
          </a:r>
        </a:p>
      </xdr:txBody>
    </xdr:sp>
    <xdr:clientData/>
  </xdr:twoCellAnchor>
  <xdr:twoCellAnchor>
    <xdr:from>
      <xdr:col>3</xdr:col>
      <xdr:colOff>89592</xdr:colOff>
      <xdr:row>19</xdr:row>
      <xdr:rowOff>80162</xdr:rowOff>
    </xdr:from>
    <xdr:to>
      <xdr:col>6</xdr:col>
      <xdr:colOff>175977</xdr:colOff>
      <xdr:row>20</xdr:row>
      <xdr:rowOff>153894</xdr:rowOff>
    </xdr:to>
    <xdr:sp macro="" textlink="">
      <xdr:nvSpPr>
        <xdr:cNvPr id="14" name="TextBox 1"/>
        <xdr:cNvSpPr txBox="1"/>
      </xdr:nvSpPr>
      <xdr:spPr>
        <a:xfrm>
          <a:off x="1886139" y="3215867"/>
          <a:ext cx="911571" cy="234054"/>
        </a:xfrm>
        <a:prstGeom prst="rect">
          <a:avLst/>
        </a:prstGeom>
        <a:noFill/>
        <a:ln>
          <a:noFill/>
        </a:ln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700" b="1">
              <a:solidFill>
                <a:schemeClr val="bg1"/>
              </a:solidFill>
            </a:rPr>
            <a:t>SOLANO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0.40151</cdr:x>
      <cdr:y>0.84622</cdr:y>
    </cdr:from>
    <cdr:to>
      <cdr:x>0.61632</cdr:x>
      <cdr:y>0.94262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9209" y="2128307"/>
          <a:ext cx="914400" cy="24245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800">
              <a:solidFill>
                <a:schemeClr val="bg1"/>
              </a:solidFill>
            </a:rPr>
            <a:t>Marin</a:t>
          </a:r>
        </a:p>
      </cdr:txBody>
    </cdr:sp>
  </cdr:relSizeAnchor>
  <cdr:relSizeAnchor xmlns:cdr="http://schemas.openxmlformats.org/drawingml/2006/chartDrawing">
    <cdr:from>
      <cdr:x>0.38011</cdr:x>
      <cdr:y>0.71221</cdr:y>
    </cdr:from>
    <cdr:to>
      <cdr:x>0.59492</cdr:x>
      <cdr:y>0.80861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618078" y="1791270"/>
          <a:ext cx="914426" cy="24245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 b="1">
              <a:solidFill>
                <a:schemeClr val="bg1"/>
              </a:solidFill>
            </a:rPr>
            <a:t>SONOMA</a:t>
          </a:r>
        </a:p>
      </cdr:txBody>
    </cdr:sp>
  </cdr:relSizeAnchor>
  <cdr:relSizeAnchor xmlns:cdr="http://schemas.openxmlformats.org/drawingml/2006/chartDrawing">
    <cdr:from>
      <cdr:x>0.32408</cdr:x>
      <cdr:y>0.54342</cdr:y>
    </cdr:from>
    <cdr:to>
      <cdr:x>0.53888</cdr:x>
      <cdr:y>0.63982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1377274" y="1332510"/>
          <a:ext cx="912856" cy="2363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 b="1">
              <a:solidFill>
                <a:schemeClr val="bg1"/>
              </a:solidFill>
            </a:rPr>
            <a:t>NAPA</a:t>
          </a:r>
        </a:p>
      </cdr:txBody>
    </cdr:sp>
  </cdr:relSizeAnchor>
  <cdr:relSizeAnchor xmlns:cdr="http://schemas.openxmlformats.org/drawingml/2006/chartDrawing">
    <cdr:from>
      <cdr:x>0.30871</cdr:x>
      <cdr:y>0.38796</cdr:y>
    </cdr:from>
    <cdr:to>
      <cdr:x>0.52352</cdr:x>
      <cdr:y>0.48436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314203" y="932014"/>
          <a:ext cx="914467" cy="2315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 b="1">
              <a:solidFill>
                <a:schemeClr val="bg1"/>
              </a:solidFill>
            </a:rPr>
            <a:t>MARIN</a:t>
          </a:r>
        </a:p>
      </cdr:txBody>
    </cdr:sp>
  </cdr:relSizeAnchor>
  <cdr:relSizeAnchor xmlns:cdr="http://schemas.openxmlformats.org/drawingml/2006/chartDrawing">
    <cdr:from>
      <cdr:x>0.30817</cdr:x>
      <cdr:y>0.27385</cdr:y>
    </cdr:from>
    <cdr:to>
      <cdr:x>0.52298</cdr:x>
      <cdr:y>0.37025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1309674" y="671496"/>
          <a:ext cx="912898" cy="2363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00" b="1">
              <a:solidFill>
                <a:schemeClr val="bg1"/>
              </a:solidFill>
            </a:rPr>
            <a:t>SAN MATEO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1:Y142"/>
  <sheetViews>
    <sheetView tabSelected="1" zoomScale="110" zoomScaleNormal="110" workbookViewId="0">
      <selection activeCell="H119" sqref="H119"/>
    </sheetView>
  </sheetViews>
  <sheetFormatPr defaultColWidth="9.140625" defaultRowHeight="12.75"/>
  <cols>
    <col min="1" max="1" width="6.85546875" style="6" customWidth="1"/>
    <col min="2" max="2" width="18.140625" style="6" customWidth="1"/>
    <col min="3" max="3" width="0.85546875" style="7" customWidth="1"/>
    <col min="4" max="4" width="10.7109375" style="8" customWidth="1"/>
    <col min="5" max="5" width="10.7109375" style="7" customWidth="1"/>
    <col min="6" max="6" width="0.85546875" style="7" customWidth="1"/>
    <col min="7" max="7" width="10.7109375" style="7" customWidth="1"/>
    <col min="8" max="8" width="10.7109375" style="6" customWidth="1"/>
    <col min="9" max="9" width="0.85546875" style="6" customWidth="1"/>
    <col min="10" max="10" width="11.5703125" style="9" customWidth="1"/>
    <col min="11" max="11" width="10.7109375" style="9" customWidth="1"/>
    <col min="12" max="12" width="0.85546875" style="9" customWidth="1"/>
    <col min="13" max="13" width="11.7109375" style="7" customWidth="1"/>
    <col min="14" max="14" width="10.7109375" style="6" customWidth="1"/>
    <col min="15" max="15" width="1.7109375" style="6" customWidth="1"/>
    <col min="16" max="16" width="11.7109375" style="6" customWidth="1"/>
    <col min="17" max="17" width="10.7109375" style="6" customWidth="1"/>
    <col min="18" max="18" width="2" style="6" customWidth="1"/>
    <col min="19" max="19" width="10.85546875" style="112" customWidth="1"/>
    <col min="20" max="20" width="0.7109375" style="112" customWidth="1"/>
    <col min="21" max="21" width="8.5703125" customWidth="1"/>
    <col min="22" max="22" width="0.85546875" style="137" customWidth="1"/>
    <col min="23" max="23" width="6.140625" style="3" customWidth="1"/>
    <col min="24" max="24" width="5.28515625" style="6" customWidth="1"/>
    <col min="25" max="25" width="8.140625" style="6" hidden="1" customWidth="1"/>
    <col min="26" max="26" width="1.42578125" style="6" customWidth="1"/>
    <col min="27" max="27" width="12" style="6" bestFit="1" customWidth="1"/>
    <col min="28" max="29" width="11" style="6" bestFit="1" customWidth="1"/>
    <col min="30" max="30" width="12" style="6" bestFit="1" customWidth="1"/>
    <col min="31" max="34" width="9.140625" style="6"/>
    <col min="35" max="35" width="23" style="6" customWidth="1"/>
    <col min="36" max="38" width="12.28515625" style="6" bestFit="1" customWidth="1"/>
    <col min="39" max="16384" width="9.140625" style="6"/>
  </cols>
  <sheetData>
    <row r="1" spans="1:24" ht="0.75" customHeight="1"/>
    <row r="2" spans="1:24" ht="21">
      <c r="B2" s="60" t="s">
        <v>53</v>
      </c>
      <c r="C2" s="138" t="s">
        <v>57</v>
      </c>
      <c r="D2" s="63"/>
      <c r="L2" s="11"/>
      <c r="X2" s="7"/>
    </row>
    <row r="3" spans="1:24" ht="18.75">
      <c r="B3" s="63" t="s">
        <v>54</v>
      </c>
      <c r="C3" s="138" t="s">
        <v>55</v>
      </c>
      <c r="L3" s="11"/>
      <c r="X3" s="7"/>
    </row>
    <row r="4" spans="1:24" ht="19.5" customHeight="1">
      <c r="B4" s="10"/>
      <c r="C4" s="11"/>
      <c r="L4" s="11"/>
      <c r="X4" s="12"/>
    </row>
    <row r="5" spans="1:24" ht="15.75">
      <c r="A5" s="5"/>
      <c r="B5" s="10"/>
      <c r="C5" s="11"/>
      <c r="D5" s="226" t="s">
        <v>323</v>
      </c>
      <c r="E5" s="213"/>
      <c r="F5" s="213"/>
      <c r="G5" s="213"/>
      <c r="H5" s="214"/>
      <c r="I5" s="65"/>
      <c r="J5" s="66"/>
      <c r="K5" s="66"/>
      <c r="L5" s="67"/>
      <c r="M5" s="85"/>
      <c r="N5" s="85"/>
      <c r="O5" s="85"/>
      <c r="P5" s="85"/>
      <c r="Q5" s="85"/>
      <c r="R5" s="85"/>
      <c r="S5" s="113"/>
      <c r="T5" s="113"/>
      <c r="U5" s="113"/>
      <c r="V5" s="113"/>
      <c r="W5" s="113"/>
      <c r="X5" s="12"/>
    </row>
    <row r="6" spans="1:24" ht="4.5" customHeight="1">
      <c r="B6" s="10"/>
      <c r="C6" s="11"/>
      <c r="L6" s="11"/>
      <c r="X6" s="12"/>
    </row>
    <row r="7" spans="1:24" ht="15.75">
      <c r="A7" s="130" t="s">
        <v>43</v>
      </c>
      <c r="B7" s="131"/>
      <c r="C7" s="11"/>
      <c r="D7" s="43"/>
      <c r="E7" s="166" t="s">
        <v>18</v>
      </c>
      <c r="F7" s="167"/>
      <c r="G7" s="168"/>
      <c r="H7" s="166" t="s">
        <v>19</v>
      </c>
      <c r="I7" s="169"/>
      <c r="J7" s="168"/>
      <c r="K7" s="166" t="s">
        <v>20</v>
      </c>
      <c r="L7" s="167"/>
      <c r="M7" s="166"/>
      <c r="N7" s="166" t="s">
        <v>58</v>
      </c>
      <c r="O7" s="170"/>
      <c r="P7" s="166"/>
      <c r="Q7" s="166" t="s">
        <v>60</v>
      </c>
      <c r="R7" s="170"/>
      <c r="S7" s="172"/>
      <c r="T7" s="172"/>
      <c r="U7" s="172"/>
      <c r="V7" s="172"/>
      <c r="W7" s="171" t="s">
        <v>320</v>
      </c>
      <c r="X7" s="13"/>
    </row>
    <row r="8" spans="1:24" ht="3.75" customHeight="1" thickBot="1">
      <c r="A8" s="10"/>
      <c r="C8" s="11"/>
      <c r="D8" s="6"/>
      <c r="E8" s="15"/>
      <c r="F8" s="14"/>
      <c r="G8" s="11"/>
      <c r="H8" s="11"/>
      <c r="I8" s="15"/>
      <c r="J8" s="14"/>
      <c r="L8" s="11"/>
      <c r="M8" s="14"/>
      <c r="N8" s="9"/>
      <c r="O8" s="9"/>
      <c r="P8" s="9"/>
      <c r="Q8" s="9"/>
      <c r="R8" s="9"/>
      <c r="S8" s="139"/>
      <c r="T8" s="139"/>
      <c r="U8" s="139"/>
      <c r="V8" s="139"/>
      <c r="W8" s="139"/>
    </row>
    <row r="9" spans="1:24">
      <c r="C9" s="11"/>
      <c r="D9" s="114" t="s">
        <v>12</v>
      </c>
      <c r="E9" s="115" t="s">
        <v>5</v>
      </c>
      <c r="F9" s="14"/>
      <c r="G9" s="116" t="s">
        <v>12</v>
      </c>
      <c r="H9" s="109" t="s">
        <v>5</v>
      </c>
      <c r="I9" s="15"/>
      <c r="J9" s="116" t="s">
        <v>12</v>
      </c>
      <c r="K9" s="109" t="s">
        <v>5</v>
      </c>
      <c r="L9" s="14"/>
      <c r="M9" s="140" t="s">
        <v>12</v>
      </c>
      <c r="N9" s="151" t="s">
        <v>160</v>
      </c>
      <c r="O9" s="139"/>
      <c r="P9" s="140" t="s">
        <v>160</v>
      </c>
      <c r="Q9" s="151" t="s">
        <v>161</v>
      </c>
      <c r="R9" s="234"/>
      <c r="S9" s="528" t="s">
        <v>321</v>
      </c>
      <c r="T9" s="176"/>
      <c r="U9" s="176"/>
      <c r="V9" s="176"/>
      <c r="W9" s="177"/>
    </row>
    <row r="10" spans="1:24" ht="4.5" customHeight="1">
      <c r="C10" s="11"/>
      <c r="D10" s="18"/>
      <c r="E10" s="19"/>
      <c r="F10" s="14"/>
      <c r="G10" s="117"/>
      <c r="H10" s="74"/>
      <c r="I10" s="15"/>
      <c r="J10" s="117"/>
      <c r="K10" s="74"/>
      <c r="L10" s="14"/>
      <c r="M10" s="141"/>
      <c r="N10" s="152"/>
      <c r="O10" s="139"/>
      <c r="P10" s="141"/>
      <c r="Q10" s="152"/>
      <c r="R10" s="234"/>
      <c r="S10" s="178"/>
      <c r="T10" s="179"/>
      <c r="U10" s="179"/>
      <c r="V10" s="179"/>
      <c r="W10" s="180"/>
    </row>
    <row r="11" spans="1:24" ht="11.25" customHeight="1">
      <c r="A11" s="1" t="s">
        <v>28</v>
      </c>
      <c r="C11" s="11"/>
      <c r="D11" s="18"/>
      <c r="E11" s="19"/>
      <c r="F11" s="11"/>
      <c r="G11" s="18"/>
      <c r="H11" s="19"/>
      <c r="I11" s="13"/>
      <c r="J11" s="68"/>
      <c r="K11" s="75"/>
      <c r="L11" s="14"/>
      <c r="M11" s="142"/>
      <c r="N11" s="153"/>
      <c r="O11" s="139"/>
      <c r="P11" s="142"/>
      <c r="Q11" s="153"/>
      <c r="R11" s="234"/>
      <c r="S11" s="181"/>
      <c r="T11" s="179"/>
      <c r="U11" s="182"/>
      <c r="V11" s="182"/>
      <c r="W11" s="183" t="s">
        <v>61</v>
      </c>
    </row>
    <row r="12" spans="1:24" ht="8.25" customHeight="1">
      <c r="A12" s="10"/>
      <c r="C12" s="11"/>
      <c r="D12" s="20"/>
      <c r="E12" s="17"/>
      <c r="F12" s="11"/>
      <c r="G12" s="20"/>
      <c r="H12" s="17"/>
      <c r="I12" s="13"/>
      <c r="J12" s="68"/>
      <c r="K12" s="74"/>
      <c r="L12" s="14"/>
      <c r="M12" s="142"/>
      <c r="N12" s="154"/>
      <c r="O12" s="139"/>
      <c r="P12" s="142"/>
      <c r="Q12" s="154"/>
      <c r="R12" s="234"/>
      <c r="S12" s="181"/>
      <c r="T12" s="179"/>
      <c r="U12" s="179"/>
      <c r="V12" s="179"/>
      <c r="W12" s="184"/>
    </row>
    <row r="13" spans="1:24" ht="12" customHeight="1">
      <c r="A13" s="21" t="s">
        <v>3</v>
      </c>
      <c r="B13" s="21" t="s">
        <v>4</v>
      </c>
      <c r="C13" s="11"/>
      <c r="D13" s="18"/>
      <c r="E13" s="19"/>
      <c r="F13" s="11"/>
      <c r="G13" s="18"/>
      <c r="H13" s="19"/>
      <c r="I13" s="13"/>
      <c r="J13" s="68"/>
      <c r="K13" s="74"/>
      <c r="L13" s="11"/>
      <c r="M13" s="142"/>
      <c r="N13" s="154"/>
      <c r="O13" s="139"/>
      <c r="P13" s="142"/>
      <c r="Q13" s="154"/>
      <c r="R13" s="234"/>
      <c r="S13" s="181"/>
      <c r="T13" s="179"/>
      <c r="U13" s="185" t="s">
        <v>117</v>
      </c>
      <c r="V13" s="185"/>
      <c r="W13" s="180" t="s">
        <v>118</v>
      </c>
    </row>
    <row r="14" spans="1:24">
      <c r="A14" s="22">
        <v>5111000</v>
      </c>
      <c r="B14" s="6" t="s">
        <v>21</v>
      </c>
      <c r="C14" s="11"/>
      <c r="D14" s="46">
        <v>171137</v>
      </c>
      <c r="E14" s="47">
        <v>168786.42</v>
      </c>
      <c r="F14" s="23"/>
      <c r="G14" s="46">
        <v>173497</v>
      </c>
      <c r="H14" s="47">
        <v>171131.29</v>
      </c>
      <c r="I14" s="23"/>
      <c r="J14" s="69">
        <v>173497</v>
      </c>
      <c r="K14" s="81">
        <v>154422.01999999999</v>
      </c>
      <c r="L14" s="61"/>
      <c r="M14" s="135">
        <v>189883.89</v>
      </c>
      <c r="N14" s="81">
        <v>179671.82</v>
      </c>
      <c r="O14" s="139"/>
      <c r="P14" s="135">
        <v>254687.85</v>
      </c>
      <c r="Q14" s="155">
        <v>242928.72</v>
      </c>
      <c r="R14" s="234"/>
      <c r="S14" s="186">
        <f>'16-17 Salaries Benefits'!I11+'16-17 Salaries Benefits'!A47</f>
        <v>281111.0196</v>
      </c>
      <c r="T14" s="179"/>
      <c r="U14" s="187">
        <f>SUM(S14-P14)</f>
        <v>26423.169599999994</v>
      </c>
      <c r="V14" s="185"/>
      <c r="W14" s="227">
        <f>SUM(U14/P14)</f>
        <v>0.10374727180743012</v>
      </c>
    </row>
    <row r="15" spans="1:24">
      <c r="A15" s="22">
        <v>5130500</v>
      </c>
      <c r="B15" s="6" t="s">
        <v>162</v>
      </c>
      <c r="C15" s="11"/>
      <c r="D15" s="46">
        <v>35887</v>
      </c>
      <c r="E15" s="47">
        <v>41684.35</v>
      </c>
      <c r="F15" s="23"/>
      <c r="G15" s="46">
        <v>22000</v>
      </c>
      <c r="H15" s="47">
        <v>49573.06</v>
      </c>
      <c r="I15" s="23"/>
      <c r="J15" s="69">
        <v>49901</v>
      </c>
      <c r="K15" s="81">
        <v>42231.41</v>
      </c>
      <c r="L15" s="62"/>
      <c r="M15" s="135">
        <v>51792.54</v>
      </c>
      <c r="N15" s="81">
        <v>45257.81</v>
      </c>
      <c r="O15" s="139"/>
      <c r="P15" s="135">
        <v>67990.2</v>
      </c>
      <c r="Q15" s="155">
        <v>60220.300000000017</v>
      </c>
      <c r="R15" s="234"/>
      <c r="S15" s="186">
        <f>SUM('16-17 Salaries Benefits'!E34)</f>
        <v>63852.414012919995</v>
      </c>
      <c r="T15" s="179"/>
      <c r="U15" s="187">
        <f t="shared" ref="U15:U21" si="0">SUM(S15-P15)</f>
        <v>-4137.7859870800021</v>
      </c>
      <c r="V15" s="185"/>
      <c r="W15" s="227">
        <f t="shared" ref="W15:W21" si="1">SUM(U15/P15)</f>
        <v>-6.0858564720798029E-2</v>
      </c>
    </row>
    <row r="16" spans="1:24">
      <c r="A16" s="22">
        <v>5140125</v>
      </c>
      <c r="B16" s="6" t="s">
        <v>163</v>
      </c>
      <c r="C16" s="11"/>
      <c r="D16" s="46">
        <v>21490</v>
      </c>
      <c r="E16" s="47">
        <v>16559.05</v>
      </c>
      <c r="F16" s="23"/>
      <c r="G16" s="46">
        <v>19000</v>
      </c>
      <c r="H16" s="47">
        <v>16882.34</v>
      </c>
      <c r="I16" s="23"/>
      <c r="J16" s="69">
        <v>19000</v>
      </c>
      <c r="K16" s="81">
        <v>14586.33</v>
      </c>
      <c r="L16" s="62"/>
      <c r="M16" s="135">
        <v>16888.330000000002</v>
      </c>
      <c r="N16" s="81">
        <v>15486.14</v>
      </c>
      <c r="O16" s="139"/>
      <c r="P16" s="135">
        <v>32442.65</v>
      </c>
      <c r="Q16" s="155">
        <v>24146.939999999995</v>
      </c>
      <c r="R16" s="234"/>
      <c r="S16" s="186">
        <f>SUM('16-17 Salaries Benefits'!G44)</f>
        <v>26867.395100000002</v>
      </c>
      <c r="T16" s="179"/>
      <c r="U16" s="187">
        <f t="shared" si="0"/>
        <v>-5575.2548999999999</v>
      </c>
      <c r="V16" s="185"/>
      <c r="W16" s="227">
        <f t="shared" si="1"/>
        <v>-0.17184955298041313</v>
      </c>
    </row>
    <row r="17" spans="1:25">
      <c r="A17" s="22">
        <v>5140125</v>
      </c>
      <c r="B17" s="6" t="s">
        <v>22</v>
      </c>
      <c r="C17" s="11"/>
      <c r="D17" s="46">
        <v>2567</v>
      </c>
      <c r="E17" s="47">
        <v>2488.6799999999998</v>
      </c>
      <c r="F17" s="23"/>
      <c r="G17" s="46">
        <v>2567</v>
      </c>
      <c r="H17" s="47">
        <v>2523.25</v>
      </c>
      <c r="I17" s="23"/>
      <c r="J17" s="69">
        <v>2567</v>
      </c>
      <c r="K17" s="81">
        <v>2177.84</v>
      </c>
      <c r="L17" s="62"/>
      <c r="M17" s="135">
        <v>2518.41</v>
      </c>
      <c r="N17" s="81">
        <v>2703.51</v>
      </c>
      <c r="O17" s="139"/>
      <c r="P17" s="135">
        <v>3692.97</v>
      </c>
      <c r="Q17" s="155">
        <v>3486.4700000000003</v>
      </c>
      <c r="R17" s="234"/>
      <c r="S17" s="186">
        <f>SUM('16-17 Salaries Benefits'!C16)</f>
        <v>4020.1035342</v>
      </c>
      <c r="T17" s="179"/>
      <c r="U17" s="187">
        <f t="shared" si="0"/>
        <v>327.13353420000021</v>
      </c>
      <c r="V17" s="185"/>
      <c r="W17" s="227">
        <f t="shared" si="1"/>
        <v>8.8582775977059172E-2</v>
      </c>
    </row>
    <row r="18" spans="1:25">
      <c r="A18" s="22">
        <v>5140115</v>
      </c>
      <c r="B18" s="6" t="s">
        <v>1</v>
      </c>
      <c r="C18" s="11"/>
      <c r="D18" s="46">
        <v>1800</v>
      </c>
      <c r="E18" s="47">
        <v>1116.01</v>
      </c>
      <c r="F18" s="23"/>
      <c r="G18" s="46">
        <v>1800</v>
      </c>
      <c r="H18" s="47">
        <v>890.51</v>
      </c>
      <c r="I18" s="23"/>
      <c r="J18" s="69">
        <v>1400</v>
      </c>
      <c r="K18" s="81">
        <v>804.96</v>
      </c>
      <c r="L18" s="62"/>
      <c r="M18" s="135">
        <v>736</v>
      </c>
      <c r="N18" s="81">
        <v>791.82</v>
      </c>
      <c r="O18" s="139"/>
      <c r="P18" s="135">
        <v>742</v>
      </c>
      <c r="Q18" s="155">
        <v>954.05</v>
      </c>
      <c r="R18" s="234"/>
      <c r="S18" s="186">
        <f>SUM('16-17 Salaries Benefits'!A20)</f>
        <v>960</v>
      </c>
      <c r="T18" s="179"/>
      <c r="U18" s="187">
        <f t="shared" si="0"/>
        <v>218</v>
      </c>
      <c r="V18" s="185"/>
      <c r="W18" s="227">
        <f t="shared" si="1"/>
        <v>0.29380053908355797</v>
      </c>
    </row>
    <row r="19" spans="1:25">
      <c r="A19" s="22">
        <v>5140145</v>
      </c>
      <c r="B19" s="6" t="s">
        <v>325</v>
      </c>
      <c r="C19" s="11"/>
      <c r="D19" s="46">
        <v>868</v>
      </c>
      <c r="E19" s="47">
        <v>868</v>
      </c>
      <c r="F19" s="23"/>
      <c r="G19" s="46">
        <v>868</v>
      </c>
      <c r="H19" s="47">
        <v>868</v>
      </c>
      <c r="I19" s="23"/>
      <c r="J19" s="69">
        <v>868</v>
      </c>
      <c r="K19" s="81">
        <v>1302</v>
      </c>
      <c r="L19" s="62"/>
      <c r="M19" s="135">
        <v>868</v>
      </c>
      <c r="N19" s="81">
        <v>1214.6600000000001</v>
      </c>
      <c r="O19" s="139"/>
      <c r="P19" s="135">
        <v>868</v>
      </c>
      <c r="Q19" s="155">
        <v>3806.24</v>
      </c>
      <c r="R19" s="234"/>
      <c r="S19" s="186">
        <f>SUM(1572.6*4)</f>
        <v>6290.4</v>
      </c>
      <c r="T19" s="179"/>
      <c r="U19" s="187">
        <f t="shared" si="0"/>
        <v>5422.4</v>
      </c>
      <c r="V19" s="185"/>
      <c r="W19" s="227">
        <f t="shared" si="1"/>
        <v>6.2470046082949304</v>
      </c>
    </row>
    <row r="20" spans="1:25">
      <c r="A20" s="132">
        <v>5130525</v>
      </c>
      <c r="B20" s="58" t="s">
        <v>164</v>
      </c>
      <c r="C20" s="80"/>
      <c r="D20" s="133"/>
      <c r="E20" s="134"/>
      <c r="F20" s="91"/>
      <c r="G20" s="133"/>
      <c r="H20" s="134"/>
      <c r="I20" s="91"/>
      <c r="J20" s="135">
        <v>14100</v>
      </c>
      <c r="K20" s="136">
        <v>5946.84</v>
      </c>
      <c r="L20" s="62"/>
      <c r="M20" s="135">
        <v>16798.34</v>
      </c>
      <c r="N20" s="136">
        <v>24897.94</v>
      </c>
      <c r="O20" s="139"/>
      <c r="P20" s="135">
        <v>14880</v>
      </c>
      <c r="Q20" s="155">
        <v>15165</v>
      </c>
      <c r="R20" s="234"/>
      <c r="S20" s="186">
        <f>'16-17 Salaries Benefits'!C26</f>
        <v>15615</v>
      </c>
      <c r="T20" s="179"/>
      <c r="U20" s="187">
        <f t="shared" si="0"/>
        <v>735</v>
      </c>
      <c r="V20" s="185"/>
      <c r="W20" s="227">
        <f t="shared" si="1"/>
        <v>4.9395161290322578E-2</v>
      </c>
    </row>
    <row r="21" spans="1:25">
      <c r="B21" s="7"/>
      <c r="C21" s="11"/>
      <c r="D21" s="50">
        <f>SUM(D14:D19)</f>
        <v>233749</v>
      </c>
      <c r="E21" s="45">
        <f>SUM(E14:E19)</f>
        <v>231502.51</v>
      </c>
      <c r="F21" s="23"/>
      <c r="G21" s="50">
        <f>SUM(G14:G19)</f>
        <v>219732</v>
      </c>
      <c r="H21" s="45">
        <f>SUM(H14:H19)</f>
        <v>241868.45</v>
      </c>
      <c r="I21" s="23"/>
      <c r="J21" s="70">
        <f>SUM(J14:J20)</f>
        <v>261333</v>
      </c>
      <c r="K21" s="83">
        <f>SUM(K14:K20)</f>
        <v>221471.39999999997</v>
      </c>
      <c r="L21" s="62"/>
      <c r="M21" s="143">
        <f>SUM(M14:M20)</f>
        <v>279485.51000000007</v>
      </c>
      <c r="N21" s="83">
        <f>SUM(N14:N20)</f>
        <v>270023.7</v>
      </c>
      <c r="O21" s="139"/>
      <c r="P21" s="143">
        <v>375303.67</v>
      </c>
      <c r="Q21" s="156">
        <f>SUM(Q14:Q20)</f>
        <v>350707.72</v>
      </c>
      <c r="R21" s="234"/>
      <c r="S21" s="188">
        <f>SUM(S14:S20)</f>
        <v>398716.33224712004</v>
      </c>
      <c r="T21" s="179"/>
      <c r="U21" s="189">
        <f t="shared" si="0"/>
        <v>23412.662247120054</v>
      </c>
      <c r="V21" s="185"/>
      <c r="W21" s="228">
        <f t="shared" si="1"/>
        <v>6.238324886916255E-2</v>
      </c>
      <c r="Y21" s="529">
        <f>SUM(S21/S56)</f>
        <v>0.75850283673135743</v>
      </c>
    </row>
    <row r="22" spans="1:25" ht="4.5" customHeight="1">
      <c r="C22" s="6"/>
      <c r="D22" s="49"/>
      <c r="E22" s="33"/>
      <c r="F22" s="41"/>
      <c r="G22" s="46"/>
      <c r="H22" s="33"/>
      <c r="I22" s="41"/>
      <c r="J22" s="69"/>
      <c r="K22" s="74"/>
      <c r="L22" s="41"/>
      <c r="M22" s="135"/>
      <c r="N22" s="157"/>
      <c r="O22" s="139"/>
      <c r="P22" s="135"/>
      <c r="Q22" s="157"/>
      <c r="R22" s="234"/>
      <c r="S22" s="181"/>
      <c r="T22" s="179"/>
      <c r="U22" s="179"/>
      <c r="V22" s="179"/>
      <c r="W22" s="229"/>
    </row>
    <row r="23" spans="1:25">
      <c r="A23" s="1" t="s">
        <v>23</v>
      </c>
      <c r="C23" s="11"/>
      <c r="D23" s="51"/>
      <c r="E23" s="48"/>
      <c r="F23" s="23"/>
      <c r="G23" s="46"/>
      <c r="H23" s="48"/>
      <c r="I23" s="23"/>
      <c r="J23" s="69"/>
      <c r="K23" s="74"/>
      <c r="L23" s="26"/>
      <c r="M23" s="135"/>
      <c r="N23" s="157"/>
      <c r="O23" s="139"/>
      <c r="P23" s="135"/>
      <c r="Q23" s="157"/>
      <c r="R23" s="234"/>
      <c r="S23" s="181"/>
      <c r="T23" s="179"/>
      <c r="U23" s="179"/>
      <c r="V23" s="179"/>
      <c r="W23" s="229"/>
    </row>
    <row r="24" spans="1:25" ht="8.25" customHeight="1">
      <c r="C24" s="11"/>
      <c r="D24" s="51"/>
      <c r="E24" s="48"/>
      <c r="F24" s="23"/>
      <c r="G24" s="46"/>
      <c r="H24" s="48"/>
      <c r="I24" s="23"/>
      <c r="J24" s="69"/>
      <c r="K24" s="74"/>
      <c r="L24" s="26"/>
      <c r="M24" s="135"/>
      <c r="N24" s="157"/>
      <c r="O24" s="139"/>
      <c r="P24" s="135"/>
      <c r="Q24" s="157"/>
      <c r="R24" s="234"/>
      <c r="S24" s="181"/>
      <c r="T24" s="179"/>
      <c r="U24" s="179"/>
      <c r="V24" s="179"/>
      <c r="W24" s="229"/>
      <c r="X24" s="29"/>
    </row>
    <row r="25" spans="1:25">
      <c r="A25" s="21" t="s">
        <v>0</v>
      </c>
      <c r="B25" s="21" t="s">
        <v>4</v>
      </c>
      <c r="C25" s="11"/>
      <c r="D25" s="51"/>
      <c r="E25" s="48"/>
      <c r="F25" s="23"/>
      <c r="G25" s="46"/>
      <c r="H25" s="48"/>
      <c r="I25" s="23"/>
      <c r="J25" s="69"/>
      <c r="K25" s="74"/>
      <c r="L25" s="27"/>
      <c r="M25" s="135"/>
      <c r="N25" s="157"/>
      <c r="O25" s="139"/>
      <c r="P25" s="135"/>
      <c r="Q25" s="157"/>
      <c r="R25" s="234"/>
      <c r="S25" s="181"/>
      <c r="T25" s="179"/>
      <c r="U25" s="179"/>
      <c r="V25" s="179"/>
      <c r="W25" s="229"/>
    </row>
    <row r="26" spans="1:25">
      <c r="A26" s="30">
        <v>5210120</v>
      </c>
      <c r="B26" s="30" t="s">
        <v>24</v>
      </c>
      <c r="C26" s="11"/>
      <c r="D26" s="46">
        <v>20000</v>
      </c>
      <c r="E26" s="47">
        <v>19439.150000000001</v>
      </c>
      <c r="F26" s="23"/>
      <c r="G26" s="46">
        <v>20000</v>
      </c>
      <c r="H26" s="47">
        <v>18942.43</v>
      </c>
      <c r="I26" s="23"/>
      <c r="J26" s="71">
        <v>31350</v>
      </c>
      <c r="K26" s="81">
        <v>9183.4599999999991</v>
      </c>
      <c r="L26" s="62"/>
      <c r="M26" s="144">
        <v>5800</v>
      </c>
      <c r="N26" s="81">
        <v>17183</v>
      </c>
      <c r="O26" s="139"/>
      <c r="P26" s="144">
        <v>9255</v>
      </c>
      <c r="Q26" s="155">
        <v>19724.45</v>
      </c>
      <c r="R26" s="234"/>
      <c r="S26" s="186">
        <f>SUM('16-17 Adminstrative Costs'!E14)</f>
        <v>15020</v>
      </c>
      <c r="T26" s="179"/>
      <c r="U26" s="187">
        <f t="shared" ref="U26:U32" si="2">SUM(S26-P26)</f>
        <v>5765</v>
      </c>
      <c r="V26" s="179"/>
      <c r="W26" s="227">
        <f t="shared" ref="W26:W32" si="3">SUM(U26/P26)</f>
        <v>0.62290653700702325</v>
      </c>
    </row>
    <row r="27" spans="1:25">
      <c r="A27" s="30">
        <v>5210131</v>
      </c>
      <c r="B27" s="30" t="s">
        <v>2</v>
      </c>
      <c r="C27" s="11"/>
      <c r="D27" s="46">
        <v>5000</v>
      </c>
      <c r="E27" s="47">
        <v>18054.599999999999</v>
      </c>
      <c r="F27" s="23"/>
      <c r="G27" s="46">
        <v>15000</v>
      </c>
      <c r="H27" s="47">
        <v>9254.82</v>
      </c>
      <c r="I27" s="23"/>
      <c r="J27" s="71">
        <v>5000</v>
      </c>
      <c r="K27" s="81">
        <v>1323.04</v>
      </c>
      <c r="L27" s="62"/>
      <c r="M27" s="144">
        <v>14196.23</v>
      </c>
      <c r="N27" s="81">
        <v>2477.21</v>
      </c>
      <c r="O27" s="139"/>
      <c r="P27" s="144">
        <v>10075</v>
      </c>
      <c r="Q27" s="155">
        <v>9066.77</v>
      </c>
      <c r="R27" s="234"/>
      <c r="S27" s="186">
        <f>SUM('16-17 Adminstrative Costs'!E26)</f>
        <v>10578.75</v>
      </c>
      <c r="T27" s="179"/>
      <c r="U27" s="187">
        <f t="shared" si="2"/>
        <v>503.75</v>
      </c>
      <c r="V27" s="179"/>
      <c r="W27" s="227">
        <f t="shared" si="3"/>
        <v>0.05</v>
      </c>
    </row>
    <row r="28" spans="1:25" ht="12.75" customHeight="1">
      <c r="A28" s="30">
        <v>5210230</v>
      </c>
      <c r="B28" s="30" t="s">
        <v>25</v>
      </c>
      <c r="C28" s="11"/>
      <c r="D28" s="46">
        <v>8000</v>
      </c>
      <c r="E28" s="47">
        <v>0</v>
      </c>
      <c r="F28" s="23"/>
      <c r="G28" s="46">
        <v>8000</v>
      </c>
      <c r="H28" s="47">
        <v>0</v>
      </c>
      <c r="I28" s="23"/>
      <c r="J28" s="71">
        <v>8000</v>
      </c>
      <c r="K28" s="81">
        <v>0</v>
      </c>
      <c r="L28" s="62"/>
      <c r="M28" s="144">
        <v>8000</v>
      </c>
      <c r="N28" s="81">
        <v>0</v>
      </c>
      <c r="O28" s="139"/>
      <c r="P28" s="144">
        <v>4925</v>
      </c>
      <c r="Q28" s="155">
        <v>1700</v>
      </c>
      <c r="R28" s="234"/>
      <c r="S28" s="186">
        <f>SUM('16-17 Adminstrative Costs'!E39)</f>
        <v>4925</v>
      </c>
      <c r="T28" s="179"/>
      <c r="U28" s="187">
        <f t="shared" si="2"/>
        <v>0</v>
      </c>
      <c r="V28" s="179"/>
      <c r="W28" s="227">
        <f t="shared" si="3"/>
        <v>0</v>
      </c>
    </row>
    <row r="29" spans="1:25" ht="12.75" customHeight="1">
      <c r="A29" s="30">
        <v>5210230</v>
      </c>
      <c r="B29" s="30" t="s">
        <v>26</v>
      </c>
      <c r="C29" s="11"/>
      <c r="D29" s="46">
        <v>4000</v>
      </c>
      <c r="E29" s="47">
        <v>2387.7800000000002</v>
      </c>
      <c r="F29" s="23"/>
      <c r="G29" s="46">
        <v>4000</v>
      </c>
      <c r="H29" s="47">
        <v>2844.85</v>
      </c>
      <c r="I29" s="23"/>
      <c r="J29" s="69">
        <v>3100</v>
      </c>
      <c r="K29" s="81">
        <v>3330.9</v>
      </c>
      <c r="L29" s="62"/>
      <c r="M29" s="135">
        <v>4000</v>
      </c>
      <c r="N29" s="81">
        <v>2614.42</v>
      </c>
      <c r="O29" s="139"/>
      <c r="P29" s="135">
        <v>2975</v>
      </c>
      <c r="Q29" s="155">
        <v>2941.66</v>
      </c>
      <c r="R29" s="234"/>
      <c r="S29" s="186">
        <f>SUM('16-17 Adminstrative Costs'!E52)</f>
        <v>2450</v>
      </c>
      <c r="T29" s="179"/>
      <c r="U29" s="187">
        <f t="shared" si="2"/>
        <v>-525</v>
      </c>
      <c r="V29" s="179"/>
      <c r="W29" s="227">
        <f t="shared" si="3"/>
        <v>-0.17647058823529413</v>
      </c>
    </row>
    <row r="30" spans="1:25" ht="12.75" customHeight="1">
      <c r="A30" s="30">
        <v>5211440</v>
      </c>
      <c r="B30" s="30" t="s">
        <v>27</v>
      </c>
      <c r="C30" s="11"/>
      <c r="D30" s="46">
        <v>2000</v>
      </c>
      <c r="E30" s="47">
        <v>1302.27</v>
      </c>
      <c r="F30" s="23"/>
      <c r="G30" s="46">
        <v>1500</v>
      </c>
      <c r="H30" s="47">
        <v>876.38</v>
      </c>
      <c r="I30" s="23"/>
      <c r="J30" s="69">
        <v>1500</v>
      </c>
      <c r="K30" s="81">
        <v>2873.03</v>
      </c>
      <c r="L30" s="111"/>
      <c r="M30" s="135">
        <v>3000</v>
      </c>
      <c r="N30" s="81">
        <v>3522.55</v>
      </c>
      <c r="O30" s="139"/>
      <c r="P30" s="135">
        <v>3037</v>
      </c>
      <c r="Q30" s="155">
        <v>3643.29</v>
      </c>
      <c r="R30" s="234"/>
      <c r="S30" s="186">
        <f>SUM('16-17 Adminstrative Costs'!E68)</f>
        <v>4117.5</v>
      </c>
      <c r="T30" s="179"/>
      <c r="U30" s="187">
        <f t="shared" si="2"/>
        <v>1080.5</v>
      </c>
      <c r="V30" s="179"/>
      <c r="W30" s="227">
        <f t="shared" si="3"/>
        <v>0.35577872900889035</v>
      </c>
    </row>
    <row r="31" spans="1:25">
      <c r="A31" s="30">
        <v>5211533</v>
      </c>
      <c r="B31" s="30" t="s">
        <v>114</v>
      </c>
      <c r="C31" s="11"/>
      <c r="D31" s="46">
        <v>6100</v>
      </c>
      <c r="E31" s="47">
        <v>7600</v>
      </c>
      <c r="F31" s="23"/>
      <c r="G31" s="46">
        <v>6800</v>
      </c>
      <c r="H31" s="47">
        <v>6400</v>
      </c>
      <c r="I31" s="23"/>
      <c r="J31" s="71">
        <v>6800</v>
      </c>
      <c r="K31" s="81">
        <v>5050</v>
      </c>
      <c r="L31" s="62"/>
      <c r="M31" s="144">
        <v>7100</v>
      </c>
      <c r="N31" s="81">
        <v>4600</v>
      </c>
      <c r="O31" s="139"/>
      <c r="P31" s="144">
        <v>7100</v>
      </c>
      <c r="Q31" s="155">
        <v>5950</v>
      </c>
      <c r="R31" s="234"/>
      <c r="S31" s="186">
        <f>SUM('16-17 Adminstrative Costs'!E80)</f>
        <v>10875</v>
      </c>
      <c r="T31" s="179"/>
      <c r="U31" s="187">
        <f t="shared" si="2"/>
        <v>3775</v>
      </c>
      <c r="V31" s="179"/>
      <c r="W31" s="227">
        <f t="shared" si="3"/>
        <v>0.53169014084507038</v>
      </c>
    </row>
    <row r="32" spans="1:25">
      <c r="A32" s="30"/>
      <c r="B32" s="30"/>
      <c r="C32" s="11"/>
      <c r="D32" s="50">
        <f>SUM(D26:D31)</f>
        <v>45100</v>
      </c>
      <c r="E32" s="45">
        <f>SUM(E26:E31)</f>
        <v>48783.799999999996</v>
      </c>
      <c r="F32" s="23"/>
      <c r="G32" s="50">
        <f>SUM(G26:G31)</f>
        <v>55300</v>
      </c>
      <c r="H32" s="45">
        <f>SUM(H26:H31)</f>
        <v>38318.479999999996</v>
      </c>
      <c r="I32" s="23"/>
      <c r="J32" s="50">
        <f>SUM(J26:J31)</f>
        <v>55750</v>
      </c>
      <c r="K32" s="45">
        <f>SUM(K26:K31)</f>
        <v>21760.43</v>
      </c>
      <c r="L32" s="62"/>
      <c r="M32" s="143">
        <f>SUM(M26:M31)</f>
        <v>42096.229999999996</v>
      </c>
      <c r="N32" s="45">
        <f>SUM(N26:N31)</f>
        <v>30397.179999999997</v>
      </c>
      <c r="O32" s="139"/>
      <c r="P32" s="143">
        <v>37367</v>
      </c>
      <c r="Q32" s="156">
        <f>SUM(Q26:Q31)</f>
        <v>43026.170000000006</v>
      </c>
      <c r="R32" s="234"/>
      <c r="S32" s="188">
        <f>SUM(S26:S31)</f>
        <v>47966.25</v>
      </c>
      <c r="T32" s="179"/>
      <c r="U32" s="189">
        <f t="shared" si="2"/>
        <v>10599.25</v>
      </c>
      <c r="V32" s="179"/>
      <c r="W32" s="228">
        <f t="shared" si="3"/>
        <v>0.2836526882008189</v>
      </c>
      <c r="Y32" s="529">
        <f>SUM(S32/S56)</f>
        <v>9.1249175792016399E-2</v>
      </c>
    </row>
    <row r="33" spans="1:25">
      <c r="A33" s="30"/>
      <c r="B33" s="30"/>
      <c r="C33" s="11"/>
      <c r="D33" s="46"/>
      <c r="E33" s="47"/>
      <c r="F33" s="23"/>
      <c r="G33" s="46"/>
      <c r="H33" s="47"/>
      <c r="I33" s="23"/>
      <c r="J33" s="69"/>
      <c r="K33" s="81"/>
      <c r="L33" s="62"/>
      <c r="M33" s="135"/>
      <c r="N33" s="155"/>
      <c r="O33" s="139"/>
      <c r="P33" s="135"/>
      <c r="Q33" s="155"/>
      <c r="R33" s="234"/>
      <c r="S33" s="181"/>
      <c r="T33" s="179"/>
      <c r="U33" s="179"/>
      <c r="V33" s="179"/>
      <c r="W33" s="184"/>
      <c r="Y33" s="529"/>
    </row>
    <row r="34" spans="1:25">
      <c r="A34" s="1" t="s">
        <v>29</v>
      </c>
      <c r="B34" s="30"/>
      <c r="C34" s="11"/>
      <c r="D34" s="46"/>
      <c r="E34" s="47"/>
      <c r="F34" s="23"/>
      <c r="G34" s="46"/>
      <c r="H34" s="47"/>
      <c r="I34" s="23"/>
      <c r="J34" s="69"/>
      <c r="K34" s="81"/>
      <c r="L34" s="62"/>
      <c r="M34" s="135"/>
      <c r="N34" s="155"/>
      <c r="O34" s="139"/>
      <c r="P34" s="135"/>
      <c r="Q34" s="155"/>
      <c r="R34" s="234"/>
      <c r="S34" s="181"/>
      <c r="T34" s="179"/>
      <c r="U34" s="179"/>
      <c r="V34" s="179"/>
      <c r="W34" s="184"/>
      <c r="Y34" s="529"/>
    </row>
    <row r="35" spans="1:25" ht="8.25" customHeight="1">
      <c r="A35" s="30"/>
      <c r="B35" s="30"/>
      <c r="C35" s="11"/>
      <c r="D35" s="46"/>
      <c r="E35" s="47"/>
      <c r="F35" s="23"/>
      <c r="G35" s="46"/>
      <c r="H35" s="47"/>
      <c r="I35" s="23"/>
      <c r="J35" s="69"/>
      <c r="K35" s="81"/>
      <c r="L35" s="111"/>
      <c r="M35" s="135"/>
      <c r="N35" s="155"/>
      <c r="O35" s="139"/>
      <c r="P35" s="135"/>
      <c r="Q35" s="155"/>
      <c r="R35" s="234"/>
      <c r="S35" s="181"/>
      <c r="T35" s="179"/>
      <c r="U35" s="179"/>
      <c r="V35" s="179"/>
      <c r="W35" s="184"/>
      <c r="Y35" s="529"/>
    </row>
    <row r="36" spans="1:25">
      <c r="A36" s="21" t="s">
        <v>0</v>
      </c>
      <c r="B36" s="21" t="s">
        <v>4</v>
      </c>
      <c r="C36" s="11"/>
      <c r="D36" s="46"/>
      <c r="E36" s="47"/>
      <c r="F36" s="23"/>
      <c r="G36" s="46"/>
      <c r="H36" s="47"/>
      <c r="I36" s="23"/>
      <c r="J36" s="69"/>
      <c r="K36" s="81"/>
      <c r="L36" s="62"/>
      <c r="M36" s="135"/>
      <c r="N36" s="155"/>
      <c r="O36" s="139"/>
      <c r="P36" s="135"/>
      <c r="Q36" s="155"/>
      <c r="R36" s="234"/>
      <c r="S36" s="181"/>
      <c r="T36" s="179"/>
      <c r="U36" s="179"/>
      <c r="V36" s="179"/>
      <c r="W36" s="184"/>
      <c r="Y36" s="529"/>
    </row>
    <row r="37" spans="1:25">
      <c r="A37" s="30">
        <v>5211270</v>
      </c>
      <c r="B37" s="30" t="s">
        <v>30</v>
      </c>
      <c r="C37" s="11"/>
      <c r="D37" s="46">
        <v>13000</v>
      </c>
      <c r="E37" s="47">
        <v>11896.6</v>
      </c>
      <c r="F37" s="23"/>
      <c r="G37" s="46">
        <v>14300</v>
      </c>
      <c r="H37" s="47">
        <v>14917.5</v>
      </c>
      <c r="I37" s="23"/>
      <c r="J37" s="69">
        <v>14300</v>
      </c>
      <c r="K37" s="81">
        <v>12622.5</v>
      </c>
      <c r="L37" s="62"/>
      <c r="M37" s="135">
        <v>16770</v>
      </c>
      <c r="N37" s="81">
        <v>16770</v>
      </c>
      <c r="O37" s="139"/>
      <c r="P37" s="135">
        <v>17370</v>
      </c>
      <c r="Q37" s="155">
        <v>18627.169999999998</v>
      </c>
      <c r="R37" s="234"/>
      <c r="S37" s="186">
        <f>SUM('16-17 Services Supplies'!J18)</f>
        <v>24938.3</v>
      </c>
      <c r="T37" s="179"/>
      <c r="U37" s="187">
        <f t="shared" ref="U37:U48" si="4">SUM(S37-P37)</f>
        <v>7568.2999999999993</v>
      </c>
      <c r="V37" s="179"/>
      <c r="W37" s="227">
        <f t="shared" ref="W37:W48" si="5">SUM(U37/P37)</f>
        <v>0.4357109959700633</v>
      </c>
      <c r="X37" s="25"/>
      <c r="Y37" s="529"/>
    </row>
    <row r="38" spans="1:25">
      <c r="A38" s="30">
        <v>5211330</v>
      </c>
      <c r="B38" s="30" t="s">
        <v>31</v>
      </c>
      <c r="C38" s="11"/>
      <c r="D38" s="46">
        <v>3100</v>
      </c>
      <c r="E38" s="47">
        <v>3258.15</v>
      </c>
      <c r="F38" s="23"/>
      <c r="G38" s="46">
        <v>13200</v>
      </c>
      <c r="H38" s="47">
        <v>13183</v>
      </c>
      <c r="I38" s="23"/>
      <c r="J38" s="69">
        <v>13300</v>
      </c>
      <c r="K38" s="81">
        <v>13775</v>
      </c>
      <c r="L38" s="111"/>
      <c r="M38" s="135">
        <v>13340</v>
      </c>
      <c r="N38" s="81">
        <v>13896</v>
      </c>
      <c r="O38" s="139"/>
      <c r="P38" s="135">
        <v>14092</v>
      </c>
      <c r="Q38" s="155">
        <v>14167</v>
      </c>
      <c r="R38" s="234"/>
      <c r="S38" s="186">
        <f>SUM('16-17 Services Supplies'!J10)</f>
        <v>14368.68</v>
      </c>
      <c r="T38" s="179"/>
      <c r="U38" s="187">
        <f t="shared" si="4"/>
        <v>276.68000000000029</v>
      </c>
      <c r="V38" s="179"/>
      <c r="W38" s="227">
        <f t="shared" si="5"/>
        <v>1.9633834799886483E-2</v>
      </c>
      <c r="X38" s="25"/>
      <c r="Y38" s="529"/>
    </row>
    <row r="39" spans="1:25">
      <c r="A39" s="30">
        <v>5210515</v>
      </c>
      <c r="B39" s="30" t="s">
        <v>32</v>
      </c>
      <c r="C39" s="11"/>
      <c r="D39" s="46">
        <v>4000</v>
      </c>
      <c r="E39" s="47">
        <v>2656.24</v>
      </c>
      <c r="F39" s="23"/>
      <c r="G39" s="46">
        <v>4000</v>
      </c>
      <c r="H39" s="47">
        <v>2541.9</v>
      </c>
      <c r="I39" s="23"/>
      <c r="J39" s="69">
        <v>3000</v>
      </c>
      <c r="K39" s="81">
        <v>2537.86</v>
      </c>
      <c r="L39" s="62"/>
      <c r="M39" s="135">
        <v>3000</v>
      </c>
      <c r="N39" s="81">
        <v>2771.03</v>
      </c>
      <c r="O39" s="139"/>
      <c r="P39" s="135">
        <v>2771.03</v>
      </c>
      <c r="Q39" s="155">
        <v>2677.02</v>
      </c>
      <c r="R39" s="234"/>
      <c r="S39" s="186">
        <f>SUM('16-17 Services Supplies'!J26)</f>
        <v>2677.02</v>
      </c>
      <c r="T39" s="179"/>
      <c r="U39" s="187">
        <f t="shared" si="4"/>
        <v>-94.010000000000218</v>
      </c>
      <c r="V39" s="179"/>
      <c r="W39" s="227">
        <f t="shared" si="5"/>
        <v>-3.3926013070952034E-2</v>
      </c>
      <c r="X39" s="25"/>
      <c r="Y39" s="529"/>
    </row>
    <row r="40" spans="1:25">
      <c r="A40" s="22">
        <v>5210715</v>
      </c>
      <c r="B40" s="6" t="s">
        <v>33</v>
      </c>
      <c r="C40" s="11"/>
      <c r="D40" s="46">
        <v>4500</v>
      </c>
      <c r="E40" s="47">
        <v>1841.33</v>
      </c>
      <c r="F40" s="23"/>
      <c r="G40" s="46">
        <v>3500</v>
      </c>
      <c r="H40" s="47">
        <v>1495.53</v>
      </c>
      <c r="I40" s="23"/>
      <c r="J40" s="69">
        <v>1600</v>
      </c>
      <c r="K40" s="81">
        <v>2508.88</v>
      </c>
      <c r="L40" s="62"/>
      <c r="M40" s="135">
        <v>5874.6</v>
      </c>
      <c r="N40" s="81">
        <v>5416.36</v>
      </c>
      <c r="O40" s="139"/>
      <c r="P40" s="135">
        <v>6053.6</v>
      </c>
      <c r="Q40" s="155">
        <v>6992.4100000000008</v>
      </c>
      <c r="R40" s="234"/>
      <c r="S40" s="186">
        <f>SUM('16-17 Services Supplies'!J37)</f>
        <v>6567.6</v>
      </c>
      <c r="T40" s="179"/>
      <c r="U40" s="187">
        <f t="shared" si="4"/>
        <v>514</v>
      </c>
      <c r="V40" s="179"/>
      <c r="W40" s="227">
        <f t="shared" si="5"/>
        <v>8.4908153825822646E-2</v>
      </c>
      <c r="X40" s="25"/>
      <c r="Y40" s="529"/>
    </row>
    <row r="41" spans="1:25" ht="12" customHeight="1">
      <c r="A41" s="30">
        <v>5211516</v>
      </c>
      <c r="B41" s="30" t="s">
        <v>311</v>
      </c>
      <c r="C41" s="11"/>
      <c r="D41" s="46">
        <v>3500</v>
      </c>
      <c r="E41" s="47">
        <v>288</v>
      </c>
      <c r="F41" s="23"/>
      <c r="G41" s="46">
        <v>3500</v>
      </c>
      <c r="H41" s="47">
        <v>486</v>
      </c>
      <c r="I41" s="23"/>
      <c r="J41" s="69">
        <v>2500</v>
      </c>
      <c r="K41" s="81">
        <v>1302.25</v>
      </c>
      <c r="L41" s="111"/>
      <c r="M41" s="135" t="s">
        <v>59</v>
      </c>
      <c r="N41" s="81" t="s">
        <v>59</v>
      </c>
      <c r="O41" s="139"/>
      <c r="P41" s="135" t="s">
        <v>59</v>
      </c>
      <c r="Q41" s="155">
        <v>0</v>
      </c>
      <c r="R41" s="234"/>
      <c r="S41" s="186">
        <v>0</v>
      </c>
      <c r="T41" s="179"/>
      <c r="U41" s="187">
        <v>0</v>
      </c>
      <c r="V41" s="179"/>
      <c r="W41" s="236" t="s">
        <v>59</v>
      </c>
      <c r="Y41" s="529"/>
    </row>
    <row r="42" spans="1:25">
      <c r="A42" s="30">
        <v>5220110</v>
      </c>
      <c r="B42" s="30" t="s">
        <v>15</v>
      </c>
      <c r="C42" s="11"/>
      <c r="D42" s="46">
        <v>2000</v>
      </c>
      <c r="E42" s="47">
        <v>1864.69</v>
      </c>
      <c r="F42" s="23"/>
      <c r="G42" s="46">
        <v>2000</v>
      </c>
      <c r="H42" s="47">
        <v>1415.88</v>
      </c>
      <c r="I42" s="23"/>
      <c r="J42" s="69">
        <v>2000</v>
      </c>
      <c r="K42" s="81">
        <v>5267.76</v>
      </c>
      <c r="L42" s="62"/>
      <c r="M42" s="135">
        <v>2000</v>
      </c>
      <c r="N42" s="81">
        <v>5831.11</v>
      </c>
      <c r="O42" s="139"/>
      <c r="P42" s="135">
        <v>2399.96</v>
      </c>
      <c r="Q42" s="155">
        <v>19519.36</v>
      </c>
      <c r="R42" s="234"/>
      <c r="S42" s="186">
        <f>SUM('16-17 Services Supplies'!J45)</f>
        <v>2590</v>
      </c>
      <c r="T42" s="179"/>
      <c r="U42" s="187">
        <f t="shared" si="4"/>
        <v>190.03999999999996</v>
      </c>
      <c r="V42" s="179"/>
      <c r="W42" s="227">
        <f t="shared" si="5"/>
        <v>7.9184653077551279E-2</v>
      </c>
      <c r="Y42" s="529"/>
    </row>
    <row r="43" spans="1:25">
      <c r="A43" s="22">
        <v>5210935</v>
      </c>
      <c r="B43" s="6" t="s">
        <v>209</v>
      </c>
      <c r="C43" s="6"/>
      <c r="D43" s="46">
        <v>2000</v>
      </c>
      <c r="E43" s="47">
        <v>1007.6</v>
      </c>
      <c r="F43" s="6"/>
      <c r="G43" s="46">
        <v>5000</v>
      </c>
      <c r="H43" s="47">
        <v>1481.32</v>
      </c>
      <c r="J43" s="46">
        <v>6000</v>
      </c>
      <c r="K43" s="47">
        <v>721.35</v>
      </c>
      <c r="L43" s="6"/>
      <c r="M43" s="135">
        <v>6000</v>
      </c>
      <c r="N43" s="47">
        <v>8671.5400000000009</v>
      </c>
      <c r="O43" s="139"/>
      <c r="P43" s="135">
        <v>2907.16</v>
      </c>
      <c r="Q43" s="155">
        <v>3864.07</v>
      </c>
      <c r="R43" s="234"/>
      <c r="S43" s="186">
        <f>SUM('16-17 Services Supplies'!J53)</f>
        <v>5137.16</v>
      </c>
      <c r="T43" s="179"/>
      <c r="U43" s="187">
        <f t="shared" si="4"/>
        <v>2230</v>
      </c>
      <c r="V43" s="179"/>
      <c r="W43" s="227">
        <f t="shared" si="5"/>
        <v>0.76707164380357462</v>
      </c>
      <c r="Y43" s="529"/>
    </row>
    <row r="44" spans="1:25">
      <c r="A44" s="30">
        <v>5211340</v>
      </c>
      <c r="B44" s="30" t="s">
        <v>191</v>
      </c>
      <c r="C44" s="11"/>
      <c r="D44" s="46">
        <v>1500</v>
      </c>
      <c r="E44" s="47">
        <v>0</v>
      </c>
      <c r="F44" s="23"/>
      <c r="G44" s="46">
        <v>1000</v>
      </c>
      <c r="H44" s="47">
        <v>0</v>
      </c>
      <c r="I44" s="23"/>
      <c r="J44" s="69">
        <v>1000</v>
      </c>
      <c r="K44" s="81">
        <v>483.5</v>
      </c>
      <c r="L44" s="111"/>
      <c r="M44" s="135">
        <v>1500</v>
      </c>
      <c r="N44" s="81">
        <v>326.7</v>
      </c>
      <c r="O44" s="139"/>
      <c r="P44" s="135">
        <v>1095</v>
      </c>
      <c r="Q44" s="155">
        <v>1023.24</v>
      </c>
      <c r="R44" s="234"/>
      <c r="S44" s="186">
        <f>SUM('16-17 Services Supplies'!J58)</f>
        <v>1800</v>
      </c>
      <c r="T44" s="179"/>
      <c r="U44" s="187">
        <f t="shared" si="4"/>
        <v>705</v>
      </c>
      <c r="V44" s="179"/>
      <c r="W44" s="227">
        <f t="shared" si="5"/>
        <v>0.64383561643835618</v>
      </c>
      <c r="Y44" s="529"/>
    </row>
    <row r="45" spans="1:25">
      <c r="A45" s="30">
        <v>5211520</v>
      </c>
      <c r="B45" s="30" t="s">
        <v>34</v>
      </c>
      <c r="C45" s="11"/>
      <c r="D45" s="46">
        <v>1000</v>
      </c>
      <c r="E45" s="47">
        <v>1729.97</v>
      </c>
      <c r="F45" s="23"/>
      <c r="G45" s="46">
        <v>1500</v>
      </c>
      <c r="H45" s="47">
        <v>866.02</v>
      </c>
      <c r="I45" s="23"/>
      <c r="J45" s="69">
        <v>1600</v>
      </c>
      <c r="K45" s="81">
        <v>692.26</v>
      </c>
      <c r="L45" s="111"/>
      <c r="M45" s="135">
        <v>2000</v>
      </c>
      <c r="N45" s="81">
        <v>1121.28</v>
      </c>
      <c r="O45" s="139"/>
      <c r="P45" s="135">
        <v>2095</v>
      </c>
      <c r="Q45" s="155">
        <v>4976.04</v>
      </c>
      <c r="R45" s="234"/>
      <c r="S45" s="186">
        <f>SUM('16-17 Services Supplies'!J64)</f>
        <v>5000</v>
      </c>
      <c r="T45" s="179"/>
      <c r="U45" s="187">
        <f t="shared" si="4"/>
        <v>2905</v>
      </c>
      <c r="V45" s="179"/>
      <c r="W45" s="227">
        <f t="shared" si="5"/>
        <v>1.3866348448687351</v>
      </c>
      <c r="Y45" s="529"/>
    </row>
    <row r="46" spans="1:25" ht="12.75" customHeight="1">
      <c r="A46" s="30">
        <v>5210129</v>
      </c>
      <c r="B46" s="30" t="s">
        <v>210</v>
      </c>
      <c r="C46" s="11"/>
      <c r="D46" s="46">
        <v>3000</v>
      </c>
      <c r="E46" s="47">
        <v>828</v>
      </c>
      <c r="F46" s="23"/>
      <c r="G46" s="46">
        <v>4500</v>
      </c>
      <c r="H46" s="47">
        <v>6000</v>
      </c>
      <c r="I46" s="23"/>
      <c r="J46" s="69">
        <v>1000</v>
      </c>
      <c r="K46" s="81">
        <v>0</v>
      </c>
      <c r="L46" s="111"/>
      <c r="M46" s="135">
        <v>2000</v>
      </c>
      <c r="N46" s="81">
        <v>3000</v>
      </c>
      <c r="O46" s="139"/>
      <c r="P46" s="135">
        <v>2000</v>
      </c>
      <c r="Q46" s="155">
        <v>250</v>
      </c>
      <c r="R46" s="234"/>
      <c r="S46" s="186">
        <f>SUM('16-17 Services Supplies'!J70)</f>
        <v>15500</v>
      </c>
      <c r="T46" s="179"/>
      <c r="U46" s="187">
        <f t="shared" si="4"/>
        <v>13500</v>
      </c>
      <c r="V46" s="179"/>
      <c r="W46" s="227">
        <f t="shared" si="5"/>
        <v>6.75</v>
      </c>
      <c r="Y46" s="529"/>
    </row>
    <row r="47" spans="1:25">
      <c r="A47" s="30">
        <v>5211215</v>
      </c>
      <c r="B47" s="30" t="s">
        <v>35</v>
      </c>
      <c r="C47" s="11"/>
      <c r="D47" s="46">
        <v>800</v>
      </c>
      <c r="E47" s="47">
        <v>659.39</v>
      </c>
      <c r="F47" s="23"/>
      <c r="G47" s="46">
        <v>800</v>
      </c>
      <c r="H47" s="47">
        <v>248.3</v>
      </c>
      <c r="I47" s="23"/>
      <c r="J47" s="69">
        <v>650</v>
      </c>
      <c r="K47" s="81">
        <v>517.03</v>
      </c>
      <c r="L47" s="62"/>
      <c r="M47" s="135">
        <v>800</v>
      </c>
      <c r="N47" s="81">
        <v>314.64</v>
      </c>
      <c r="O47" s="139"/>
      <c r="P47" s="135">
        <v>800</v>
      </c>
      <c r="Q47" s="155">
        <v>400.94</v>
      </c>
      <c r="R47" s="234"/>
      <c r="S47" s="186">
        <f>Q47</f>
        <v>400.94</v>
      </c>
      <c r="T47" s="179"/>
      <c r="U47" s="187">
        <f t="shared" si="4"/>
        <v>-399.06</v>
      </c>
      <c r="V47" s="179"/>
      <c r="W47" s="227">
        <f t="shared" si="5"/>
        <v>-0.49882500000000002</v>
      </c>
      <c r="Y47" s="529"/>
    </row>
    <row r="48" spans="1:25" ht="12" customHeight="1">
      <c r="B48" s="7"/>
      <c r="C48" s="11"/>
      <c r="D48" s="50">
        <f>SUM(D37:D47)</f>
        <v>38400</v>
      </c>
      <c r="E48" s="45">
        <f>SUM(E37:E47)</f>
        <v>26029.969999999998</v>
      </c>
      <c r="F48" s="23"/>
      <c r="G48" s="50">
        <f>SUM(G37:G47)</f>
        <v>53300</v>
      </c>
      <c r="H48" s="45">
        <f>SUM(H37:H47)</f>
        <v>42635.45</v>
      </c>
      <c r="I48" s="23"/>
      <c r="J48" s="70">
        <f>SUM(J37:J47)</f>
        <v>46950</v>
      </c>
      <c r="K48" s="83">
        <f>SUM(K37:K47)</f>
        <v>40428.39</v>
      </c>
      <c r="L48" s="62"/>
      <c r="M48" s="143">
        <f>SUM(M37:M47)</f>
        <v>53284.6</v>
      </c>
      <c r="N48" s="83">
        <f>SUM(N37:N47)</f>
        <v>58118.659999999996</v>
      </c>
      <c r="O48" s="139"/>
      <c r="P48" s="143">
        <f>SUM(P37:P47)</f>
        <v>51583.75</v>
      </c>
      <c r="Q48" s="158">
        <f>SUM(Q37:Q47)</f>
        <v>72497.25</v>
      </c>
      <c r="R48" s="234"/>
      <c r="S48" s="188">
        <f>SUM(S37:S47)</f>
        <v>78979.7</v>
      </c>
      <c r="T48" s="179"/>
      <c r="U48" s="189">
        <f t="shared" si="4"/>
        <v>27395.949999999997</v>
      </c>
      <c r="V48" s="179"/>
      <c r="W48" s="228">
        <f t="shared" si="5"/>
        <v>0.53109651779872535</v>
      </c>
      <c r="Y48" s="529">
        <f>SUM(S48/S56)</f>
        <v>0.15024798747662613</v>
      </c>
    </row>
    <row r="49" spans="1:25" ht="4.5" customHeight="1">
      <c r="C49" s="11"/>
      <c r="D49" s="51"/>
      <c r="E49" s="48"/>
      <c r="F49" s="23"/>
      <c r="G49" s="46"/>
      <c r="H49" s="48"/>
      <c r="I49" s="23"/>
      <c r="J49" s="69"/>
      <c r="K49" s="74"/>
      <c r="L49" s="26"/>
      <c r="M49" s="141"/>
      <c r="N49" s="154"/>
      <c r="O49" s="139"/>
      <c r="P49" s="141"/>
      <c r="Q49" s="154"/>
      <c r="R49" s="234"/>
      <c r="S49" s="186"/>
      <c r="T49" s="179"/>
      <c r="U49" s="179"/>
      <c r="V49" s="179"/>
      <c r="W49" s="184"/>
    </row>
    <row r="50" spans="1:25">
      <c r="A50" s="1" t="s">
        <v>17</v>
      </c>
      <c r="B50" s="7"/>
      <c r="C50" s="11"/>
      <c r="D50" s="51"/>
      <c r="E50" s="48"/>
      <c r="F50" s="23"/>
      <c r="G50" s="46"/>
      <c r="H50" s="48"/>
      <c r="I50" s="23"/>
      <c r="J50" s="69"/>
      <c r="K50" s="74"/>
      <c r="L50" s="27"/>
      <c r="M50" s="141"/>
      <c r="N50" s="154"/>
      <c r="O50" s="139"/>
      <c r="P50" s="141"/>
      <c r="Q50" s="154"/>
      <c r="R50" s="234"/>
      <c r="S50" s="186"/>
      <c r="T50" s="179"/>
      <c r="U50" s="179"/>
      <c r="V50" s="179"/>
      <c r="W50" s="184"/>
      <c r="Y50" s="29"/>
    </row>
    <row r="51" spans="1:25" ht="7.5" customHeight="1">
      <c r="A51" s="10"/>
      <c r="B51" s="7"/>
      <c r="C51" s="11"/>
      <c r="D51" s="51"/>
      <c r="E51" s="48"/>
      <c r="F51" s="23"/>
      <c r="G51" s="46"/>
      <c r="H51" s="48"/>
      <c r="I51" s="23"/>
      <c r="J51" s="69"/>
      <c r="K51" s="74"/>
      <c r="L51" s="27"/>
      <c r="M51" s="141"/>
      <c r="N51" s="154"/>
      <c r="O51" s="139"/>
      <c r="P51" s="141"/>
      <c r="Q51" s="154"/>
      <c r="R51" s="234"/>
      <c r="S51" s="181"/>
      <c r="T51" s="179"/>
      <c r="U51" s="179"/>
      <c r="V51" s="179"/>
      <c r="W51" s="184"/>
    </row>
    <row r="52" spans="1:25" ht="9.75" customHeight="1">
      <c r="A52" s="21" t="s">
        <v>0</v>
      </c>
      <c r="B52" s="32" t="s">
        <v>4</v>
      </c>
      <c r="C52" s="11"/>
      <c r="D52" s="51"/>
      <c r="E52" s="48"/>
      <c r="F52" s="23"/>
      <c r="G52" s="46"/>
      <c r="H52" s="48"/>
      <c r="I52" s="23"/>
      <c r="J52" s="69"/>
      <c r="K52" s="74"/>
      <c r="L52" s="27"/>
      <c r="M52" s="141"/>
      <c r="N52" s="154"/>
      <c r="O52" s="139"/>
      <c r="P52" s="141"/>
      <c r="Q52" s="154"/>
      <c r="R52" s="234"/>
      <c r="S52" s="181"/>
      <c r="T52" s="179"/>
      <c r="U52" s="179"/>
      <c r="V52" s="179"/>
      <c r="W52" s="184"/>
    </row>
    <row r="53" spans="1:25">
      <c r="A53" s="30" t="s">
        <v>36</v>
      </c>
      <c r="B53" s="22" t="s">
        <v>37</v>
      </c>
      <c r="C53" s="11"/>
      <c r="D53" s="46">
        <v>0</v>
      </c>
      <c r="E53" s="48">
        <v>0</v>
      </c>
      <c r="F53" s="23"/>
      <c r="G53" s="46">
        <v>0</v>
      </c>
      <c r="H53" s="48">
        <v>0</v>
      </c>
      <c r="I53" s="23"/>
      <c r="J53" s="69">
        <v>0</v>
      </c>
      <c r="K53" s="82">
        <v>0</v>
      </c>
      <c r="L53" s="27"/>
      <c r="M53" s="141">
        <v>0</v>
      </c>
      <c r="N53" s="159">
        <v>0</v>
      </c>
      <c r="O53" s="139"/>
      <c r="P53" s="141">
        <v>0</v>
      </c>
      <c r="Q53" s="159">
        <v>0</v>
      </c>
      <c r="R53" s="234"/>
      <c r="S53" s="186">
        <v>0</v>
      </c>
      <c r="T53" s="179"/>
      <c r="U53" s="190">
        <v>0</v>
      </c>
      <c r="V53" s="190"/>
      <c r="W53" s="191">
        <v>0</v>
      </c>
    </row>
    <row r="54" spans="1:25" ht="10.5" customHeight="1">
      <c r="B54" s="7"/>
      <c r="C54" s="11"/>
      <c r="D54" s="50">
        <f>D53</f>
        <v>0</v>
      </c>
      <c r="E54" s="52">
        <f>SUM(E53:E53)</f>
        <v>0</v>
      </c>
      <c r="F54" s="23"/>
      <c r="G54" s="53">
        <f>SUM(G53:G53)</f>
        <v>0</v>
      </c>
      <c r="H54" s="52">
        <f>SUM(H53:H53)</f>
        <v>0</v>
      </c>
      <c r="I54" s="23"/>
      <c r="J54" s="70">
        <v>0</v>
      </c>
      <c r="K54" s="84">
        <v>0</v>
      </c>
      <c r="L54" s="24"/>
      <c r="M54" s="145">
        <v>0</v>
      </c>
      <c r="N54" s="160">
        <v>0</v>
      </c>
      <c r="O54" s="139"/>
      <c r="P54" s="145">
        <v>0</v>
      </c>
      <c r="Q54" s="160">
        <v>0</v>
      </c>
      <c r="R54" s="234"/>
      <c r="S54" s="188">
        <f>SUM(S53)</f>
        <v>0</v>
      </c>
      <c r="T54" s="179"/>
      <c r="U54" s="192">
        <v>0</v>
      </c>
      <c r="V54" s="190"/>
      <c r="W54" s="193">
        <v>0</v>
      </c>
    </row>
    <row r="55" spans="1:25" ht="5.25" customHeight="1">
      <c r="B55" s="7"/>
      <c r="C55" s="11"/>
      <c r="D55" s="46"/>
      <c r="E55" s="48"/>
      <c r="F55" s="23"/>
      <c r="G55" s="46"/>
      <c r="H55" s="48"/>
      <c r="I55" s="23"/>
      <c r="J55" s="69"/>
      <c r="K55" s="74"/>
      <c r="L55" s="27"/>
      <c r="M55" s="141"/>
      <c r="N55" s="154"/>
      <c r="O55" s="139"/>
      <c r="P55" s="141"/>
      <c r="Q55" s="154"/>
      <c r="R55" s="234"/>
      <c r="S55" s="181"/>
      <c r="T55" s="179"/>
      <c r="U55" s="179"/>
      <c r="V55" s="179"/>
      <c r="W55" s="184"/>
    </row>
    <row r="56" spans="1:25" ht="12" customHeight="1" thickBot="1">
      <c r="B56" s="9" t="s">
        <v>10</v>
      </c>
      <c r="C56" s="14"/>
      <c r="D56" s="119">
        <f>SUM(D21+D32+D48+D54)</f>
        <v>317249</v>
      </c>
      <c r="E56" s="120">
        <f>SUM(E21+E32+E48+E54)</f>
        <v>306316.27999999997</v>
      </c>
      <c r="F56" s="108"/>
      <c r="G56" s="119">
        <f>SUM(G21+G32+G48)</f>
        <v>328332</v>
      </c>
      <c r="H56" s="120">
        <f>SUM(H21+H32+H48)</f>
        <v>322822.38</v>
      </c>
      <c r="I56" s="108"/>
      <c r="J56" s="119">
        <f>SUM(J21+J32+J48)</f>
        <v>364033</v>
      </c>
      <c r="K56" s="121">
        <f>SUM(K21+K32+K48)</f>
        <v>283660.21999999997</v>
      </c>
      <c r="L56" s="24"/>
      <c r="M56" s="146">
        <f>SUM(M21+M32+M48)</f>
        <v>374866.34</v>
      </c>
      <c r="N56" s="161">
        <f>SUM(N21+N32+N48)</f>
        <v>358539.54</v>
      </c>
      <c r="O56" s="139"/>
      <c r="P56" s="146">
        <f>SUM(P21+P32+P48)</f>
        <v>464254.42</v>
      </c>
      <c r="Q56" s="161">
        <f>SUM(Q21+Q32+Q48)</f>
        <v>466231.13999999996</v>
      </c>
      <c r="R56" s="234"/>
      <c r="S56" s="194">
        <f>SUM(S21+S32+S48+S54)</f>
        <v>525662.28224712005</v>
      </c>
      <c r="T56" s="179"/>
      <c r="U56" s="195">
        <f>SUM(S56-P56)</f>
        <v>61407.862247120065</v>
      </c>
      <c r="V56" s="196"/>
      <c r="W56" s="230">
        <f>SUM(U56/P56)</f>
        <v>0.13227200345689777</v>
      </c>
    </row>
    <row r="57" spans="1:25" ht="5.25" customHeight="1" thickTop="1" thickBot="1">
      <c r="D57" s="54"/>
      <c r="E57" s="55"/>
      <c r="F57" s="27"/>
      <c r="G57" s="54"/>
      <c r="H57" s="55"/>
      <c r="I57" s="23"/>
      <c r="J57" s="72"/>
      <c r="K57" s="76"/>
      <c r="L57" s="27"/>
      <c r="M57" s="147"/>
      <c r="N57" s="162"/>
      <c r="O57" s="139"/>
      <c r="P57" s="147"/>
      <c r="Q57" s="162"/>
      <c r="R57" s="234"/>
      <c r="S57" s="197"/>
      <c r="T57" s="198"/>
      <c r="U57" s="198"/>
      <c r="V57" s="198"/>
      <c r="W57" s="199"/>
    </row>
    <row r="58" spans="1:25" ht="10.5" customHeight="1">
      <c r="B58" s="3" t="s">
        <v>226</v>
      </c>
      <c r="D58" s="344">
        <v>-6337</v>
      </c>
      <c r="E58" s="27"/>
      <c r="F58" s="27"/>
      <c r="G58" s="344">
        <f>SUM(G56-D56)</f>
        <v>11083</v>
      </c>
      <c r="H58" s="27"/>
      <c r="I58" s="23"/>
      <c r="J58" s="344">
        <f>SUM(J56-G56)</f>
        <v>35701</v>
      </c>
      <c r="K58" s="14"/>
      <c r="L58" s="27"/>
      <c r="M58" s="345">
        <f>SUM(M56-J56)</f>
        <v>10833.340000000026</v>
      </c>
      <c r="N58" s="78"/>
      <c r="O58" s="139"/>
      <c r="P58" s="345">
        <f>SUM(P56-M56)</f>
        <v>89388.079999999958</v>
      </c>
      <c r="Q58" s="234"/>
      <c r="R58" s="234"/>
      <c r="S58" s="345">
        <f>SUM(S56-P56)</f>
        <v>61407.862247120065</v>
      </c>
      <c r="T58" s="139"/>
      <c r="U58" s="139"/>
      <c r="V58" s="139"/>
      <c r="W58" s="139"/>
    </row>
    <row r="59" spans="1:25" ht="10.5" customHeight="1">
      <c r="D59" s="27"/>
      <c r="E59" s="27"/>
      <c r="F59" s="27"/>
      <c r="G59" s="27"/>
      <c r="H59" s="27"/>
      <c r="I59" s="23"/>
      <c r="J59" s="27"/>
      <c r="K59" s="14"/>
      <c r="L59" s="27"/>
      <c r="M59" s="26"/>
      <c r="N59" s="78"/>
      <c r="O59" s="139"/>
      <c r="P59" s="234"/>
      <c r="Q59" s="234"/>
      <c r="R59" s="234"/>
      <c r="S59" s="139"/>
      <c r="T59" s="139"/>
      <c r="U59" s="139"/>
      <c r="V59" s="139"/>
      <c r="W59" s="139"/>
    </row>
    <row r="60" spans="1:25" ht="15.75">
      <c r="A60" s="5"/>
      <c r="B60" s="10"/>
      <c r="C60" s="11"/>
      <c r="D60" s="226" t="s">
        <v>323</v>
      </c>
      <c r="E60" s="213"/>
      <c r="F60" s="213"/>
      <c r="G60" s="213"/>
      <c r="H60" s="214"/>
      <c r="I60" s="65"/>
      <c r="J60" s="66"/>
      <c r="K60" s="66"/>
      <c r="L60" s="67"/>
      <c r="M60" s="85"/>
      <c r="N60" s="85"/>
      <c r="O60" s="85"/>
      <c r="P60" s="85"/>
      <c r="Q60" s="85"/>
      <c r="R60" s="85"/>
      <c r="S60" s="113"/>
      <c r="T60" s="113"/>
      <c r="U60" s="113"/>
      <c r="V60" s="113"/>
      <c r="W60" s="113"/>
      <c r="X60" s="12"/>
    </row>
    <row r="61" spans="1:25" ht="6.75" customHeight="1">
      <c r="D61" s="27"/>
      <c r="E61" s="27"/>
      <c r="F61" s="27"/>
      <c r="G61" s="27"/>
      <c r="H61" s="27"/>
      <c r="I61" s="23"/>
      <c r="J61" s="27"/>
      <c r="K61" s="14"/>
      <c r="L61" s="27"/>
      <c r="M61" s="26"/>
      <c r="N61" s="78"/>
      <c r="O61" s="139"/>
      <c r="P61" s="234"/>
      <c r="Q61" s="234"/>
      <c r="R61" s="234"/>
      <c r="S61" s="139"/>
      <c r="T61" s="139"/>
      <c r="U61" s="139"/>
      <c r="V61" s="139"/>
      <c r="W61" s="139"/>
    </row>
    <row r="62" spans="1:25" ht="15.75">
      <c r="A62" s="130" t="s">
        <v>44</v>
      </c>
      <c r="B62" s="58"/>
      <c r="D62" s="56"/>
      <c r="E62" s="44" t="s">
        <v>18</v>
      </c>
      <c r="F62" s="11"/>
      <c r="G62" s="43"/>
      <c r="H62" s="44" t="s">
        <v>19</v>
      </c>
      <c r="I62" s="13"/>
      <c r="J62" s="43"/>
      <c r="K62" s="44" t="s">
        <v>20</v>
      </c>
      <c r="L62" s="11"/>
      <c r="M62" s="43"/>
      <c r="N62" s="44" t="s">
        <v>58</v>
      </c>
      <c r="O62" s="139"/>
      <c r="P62" s="43"/>
      <c r="Q62" s="44" t="s">
        <v>60</v>
      </c>
      <c r="R62" s="234"/>
      <c r="S62" s="172"/>
      <c r="T62" s="172"/>
      <c r="U62" s="172"/>
      <c r="V62" s="172"/>
      <c r="W62" s="171" t="s">
        <v>322</v>
      </c>
    </row>
    <row r="63" spans="1:25" ht="3.75" customHeight="1" thickBot="1">
      <c r="A63" s="38"/>
      <c r="D63" s="27"/>
      <c r="E63" s="27"/>
      <c r="F63" s="27"/>
      <c r="G63" s="27"/>
      <c r="H63" s="27"/>
      <c r="I63" s="23"/>
      <c r="J63" s="27"/>
      <c r="L63" s="27"/>
      <c r="M63" s="26"/>
      <c r="N63" s="78"/>
      <c r="O63" s="139"/>
      <c r="P63" s="234"/>
      <c r="Q63" s="234"/>
      <c r="R63" s="234"/>
      <c r="S63" s="139"/>
      <c r="T63" s="139"/>
      <c r="U63" s="139"/>
      <c r="V63" s="139"/>
      <c r="W63" s="139"/>
    </row>
    <row r="64" spans="1:25">
      <c r="A64" s="38"/>
      <c r="D64" s="114" t="s">
        <v>12</v>
      </c>
      <c r="E64" s="115" t="s">
        <v>5</v>
      </c>
      <c r="F64" s="14"/>
      <c r="G64" s="116" t="s">
        <v>12</v>
      </c>
      <c r="H64" s="109" t="s">
        <v>5</v>
      </c>
      <c r="I64" s="15"/>
      <c r="J64" s="116" t="s">
        <v>12</v>
      </c>
      <c r="K64" s="109" t="s">
        <v>5</v>
      </c>
      <c r="L64" s="14"/>
      <c r="M64" s="140" t="s">
        <v>12</v>
      </c>
      <c r="N64" s="151" t="s">
        <v>5</v>
      </c>
      <c r="O64" s="139"/>
      <c r="P64" s="140" t="s">
        <v>12</v>
      </c>
      <c r="Q64" s="151" t="s">
        <v>161</v>
      </c>
      <c r="R64" s="234"/>
      <c r="S64" s="528" t="s">
        <v>321</v>
      </c>
      <c r="T64" s="176"/>
      <c r="U64" s="176"/>
      <c r="V64" s="176"/>
      <c r="W64" s="177"/>
    </row>
    <row r="65" spans="1:23" ht="9" customHeight="1">
      <c r="A65" s="38"/>
      <c r="D65" s="18"/>
      <c r="E65" s="19"/>
      <c r="F65" s="14"/>
      <c r="G65" s="117"/>
      <c r="H65" s="74"/>
      <c r="I65" s="15"/>
      <c r="J65" s="117"/>
      <c r="K65" s="74"/>
      <c r="L65" s="14"/>
      <c r="M65" s="141"/>
      <c r="N65" s="152"/>
      <c r="O65" s="139"/>
      <c r="P65" s="141"/>
      <c r="Q65" s="152"/>
      <c r="R65" s="234"/>
      <c r="S65" s="178"/>
      <c r="T65" s="179"/>
      <c r="U65" s="179"/>
      <c r="V65" s="179"/>
      <c r="W65" s="180"/>
    </row>
    <row r="66" spans="1:23">
      <c r="A66" s="38" t="s">
        <v>16</v>
      </c>
      <c r="D66" s="51"/>
      <c r="E66" s="48"/>
      <c r="F66" s="24"/>
      <c r="G66" s="51"/>
      <c r="H66" s="48"/>
      <c r="I66" s="108"/>
      <c r="J66" s="107"/>
      <c r="K66" s="74"/>
      <c r="L66" s="24"/>
      <c r="M66" s="135"/>
      <c r="N66" s="157"/>
      <c r="O66" s="139"/>
      <c r="P66" s="135"/>
      <c r="Q66" s="157"/>
      <c r="R66" s="234"/>
      <c r="S66" s="181"/>
      <c r="T66" s="179"/>
      <c r="U66" s="182"/>
      <c r="V66" s="182"/>
      <c r="W66" s="183" t="s">
        <v>61</v>
      </c>
    </row>
    <row r="67" spans="1:23" ht="8.25" customHeight="1">
      <c r="A67" s="38"/>
      <c r="D67" s="46"/>
      <c r="E67" s="47"/>
      <c r="F67" s="27"/>
      <c r="G67" s="46"/>
      <c r="H67" s="47"/>
      <c r="I67" s="23"/>
      <c r="J67" s="69"/>
      <c r="K67" s="74"/>
      <c r="L67" s="27"/>
      <c r="M67" s="135"/>
      <c r="N67" s="155"/>
      <c r="O67" s="139"/>
      <c r="P67" s="135"/>
      <c r="Q67" s="155"/>
      <c r="R67" s="234"/>
      <c r="S67" s="181"/>
      <c r="T67" s="179"/>
      <c r="U67" s="179"/>
      <c r="V67" s="179"/>
      <c r="W67" s="184"/>
    </row>
    <row r="68" spans="1:23" ht="13.5" customHeight="1">
      <c r="A68" s="39" t="s">
        <v>0</v>
      </c>
      <c r="B68" s="39" t="s">
        <v>6</v>
      </c>
      <c r="C68" s="11"/>
      <c r="D68" s="51"/>
      <c r="E68" s="48"/>
      <c r="F68" s="27"/>
      <c r="G68" s="51"/>
      <c r="H68" s="48"/>
      <c r="I68" s="23"/>
      <c r="J68" s="69"/>
      <c r="K68" s="74"/>
      <c r="L68" s="24"/>
      <c r="M68" s="135"/>
      <c r="N68" s="155"/>
      <c r="O68" s="139"/>
      <c r="P68" s="135"/>
      <c r="Q68" s="155"/>
      <c r="R68" s="234"/>
      <c r="S68" s="181"/>
      <c r="T68" s="179"/>
      <c r="U68" s="185" t="s">
        <v>117</v>
      </c>
      <c r="V68" s="185"/>
      <c r="W68" s="180" t="s">
        <v>118</v>
      </c>
    </row>
    <row r="69" spans="1:23" ht="13.5" customHeight="1">
      <c r="A69" s="22">
        <v>4710510</v>
      </c>
      <c r="B69" s="6" t="s">
        <v>38</v>
      </c>
      <c r="D69" s="59">
        <v>271589</v>
      </c>
      <c r="E69" s="47">
        <v>271589</v>
      </c>
      <c r="F69" s="40"/>
      <c r="G69" s="46">
        <v>298748</v>
      </c>
      <c r="H69" s="155">
        <v>298748</v>
      </c>
      <c r="I69" s="41"/>
      <c r="J69" s="69">
        <v>339033</v>
      </c>
      <c r="K69" s="155">
        <v>339033</v>
      </c>
      <c r="L69" s="40"/>
      <c r="M69" s="135">
        <v>348366.36</v>
      </c>
      <c r="N69" s="81">
        <v>348367.13</v>
      </c>
      <c r="O69" s="139"/>
      <c r="P69" s="135">
        <v>387528.42</v>
      </c>
      <c r="Q69" s="155">
        <v>387529.42</v>
      </c>
      <c r="R69" s="234"/>
      <c r="S69" s="200">
        <f>SUM(S56-25000-30000-1500)</f>
        <v>469162.28224712005</v>
      </c>
      <c r="T69" s="179"/>
      <c r="U69" s="201">
        <f>SUM(S69-P69)</f>
        <v>81633.862247120065</v>
      </c>
      <c r="V69" s="179"/>
      <c r="W69" s="227">
        <f>SUM(U69/P69)</f>
        <v>0.21065258193739719</v>
      </c>
    </row>
    <row r="70" spans="1:23" ht="13.5" customHeight="1">
      <c r="A70" s="22"/>
      <c r="B70" s="2" t="s">
        <v>39</v>
      </c>
      <c r="C70" s="3"/>
      <c r="D70" s="102">
        <f>SUM(D69/3)</f>
        <v>90529.666666666672</v>
      </c>
      <c r="E70" s="100">
        <v>90529.67</v>
      </c>
      <c r="F70" s="101"/>
      <c r="G70" s="102">
        <f>SUM(G69/3)</f>
        <v>99582.666666666672</v>
      </c>
      <c r="H70" s="163">
        <f>SUM(H69/3)</f>
        <v>99582.666666666672</v>
      </c>
      <c r="I70" s="103"/>
      <c r="J70" s="104">
        <f>SUM(J69/3)</f>
        <v>113011</v>
      </c>
      <c r="K70" s="163">
        <f>SUM(K69/3)</f>
        <v>113011</v>
      </c>
      <c r="L70" s="101"/>
      <c r="M70" s="148">
        <f>SUM(M69/3)</f>
        <v>116122.12</v>
      </c>
      <c r="N70" s="105">
        <v>116122.12</v>
      </c>
      <c r="O70" s="139"/>
      <c r="P70" s="148">
        <v>129176.14</v>
      </c>
      <c r="Q70" s="163">
        <v>129176.47333333333</v>
      </c>
      <c r="R70" s="234"/>
      <c r="S70" s="202">
        <f>SUM(S69/3)</f>
        <v>156387.42741570668</v>
      </c>
      <c r="T70" s="179"/>
      <c r="U70" s="201">
        <f>SUM(S70-P70)</f>
        <v>27211.287415706684</v>
      </c>
      <c r="V70" s="179"/>
      <c r="W70" s="227">
        <f t="shared" ref="W70:W73" si="6">SUM(U70/P70)</f>
        <v>0.21065258193739714</v>
      </c>
    </row>
    <row r="71" spans="1:23" ht="13.5" customHeight="1">
      <c r="A71" s="22"/>
      <c r="B71" s="2" t="s">
        <v>40</v>
      </c>
      <c r="C71" s="3"/>
      <c r="D71" s="102">
        <f>SUM(D69/3)</f>
        <v>90529.666666666672</v>
      </c>
      <c r="E71" s="100">
        <v>90529.67</v>
      </c>
      <c r="F71" s="101"/>
      <c r="G71" s="102">
        <f>SUM(G69/3)</f>
        <v>99582.666666666672</v>
      </c>
      <c r="H71" s="163">
        <f>SUM(H69/3)</f>
        <v>99582.666666666672</v>
      </c>
      <c r="I71" s="103"/>
      <c r="J71" s="104">
        <f>SUM(J69/3)</f>
        <v>113011</v>
      </c>
      <c r="K71" s="163">
        <f>SUM(K69/3)</f>
        <v>113011</v>
      </c>
      <c r="L71" s="101"/>
      <c r="M71" s="148">
        <f>SUM(M69/3)</f>
        <v>116122.12</v>
      </c>
      <c r="N71" s="105">
        <v>116122.12</v>
      </c>
      <c r="O71" s="139"/>
      <c r="P71" s="148">
        <v>129176.14</v>
      </c>
      <c r="Q71" s="163">
        <v>129176.47333333333</v>
      </c>
      <c r="R71" s="234"/>
      <c r="S71" s="202">
        <f>SUM(S69/3)</f>
        <v>156387.42741570668</v>
      </c>
      <c r="T71" s="179"/>
      <c r="U71" s="201">
        <f t="shared" ref="U71:U72" si="7">SUM(S71-P71)</f>
        <v>27211.287415706684</v>
      </c>
      <c r="V71" s="179"/>
      <c r="W71" s="227">
        <f t="shared" si="6"/>
        <v>0.21065258193739714</v>
      </c>
    </row>
    <row r="72" spans="1:23" ht="12.75" customHeight="1">
      <c r="A72" s="110"/>
      <c r="B72" s="2" t="s">
        <v>41</v>
      </c>
      <c r="C72" s="3"/>
      <c r="D72" s="102">
        <f>SUM(D69/3)</f>
        <v>90529.666666666672</v>
      </c>
      <c r="E72" s="100">
        <v>90529.67</v>
      </c>
      <c r="F72" s="101"/>
      <c r="G72" s="102">
        <f>SUM(G69/3)</f>
        <v>99582.666666666672</v>
      </c>
      <c r="H72" s="163">
        <f>SUM(H69/3)</f>
        <v>99582.666666666672</v>
      </c>
      <c r="I72" s="103"/>
      <c r="J72" s="104">
        <f>SUM(J69/3)</f>
        <v>113011</v>
      </c>
      <c r="K72" s="163">
        <f>SUM(K69/3)</f>
        <v>113011</v>
      </c>
      <c r="L72" s="106"/>
      <c r="M72" s="148">
        <f>SUM(M69/3)</f>
        <v>116122.12</v>
      </c>
      <c r="N72" s="105">
        <v>116122.12</v>
      </c>
      <c r="O72" s="139"/>
      <c r="P72" s="148">
        <v>129176.14</v>
      </c>
      <c r="Q72" s="163">
        <v>129176.47333333333</v>
      </c>
      <c r="R72" s="234"/>
      <c r="S72" s="202">
        <f>SUM(S69/3)</f>
        <v>156387.42741570668</v>
      </c>
      <c r="T72" s="179"/>
      <c r="U72" s="201">
        <f t="shared" si="7"/>
        <v>27211.287415706684</v>
      </c>
      <c r="V72" s="179"/>
      <c r="W72" s="227">
        <f t="shared" si="6"/>
        <v>0.21065258193739714</v>
      </c>
    </row>
    <row r="73" spans="1:23" ht="13.5" customHeight="1">
      <c r="A73" s="110"/>
      <c r="B73" s="2"/>
      <c r="C73" s="3"/>
      <c r="D73" s="118">
        <f>SUM(D69)</f>
        <v>271589</v>
      </c>
      <c r="E73" s="45">
        <f>SUM(E69)</f>
        <v>271589</v>
      </c>
      <c r="F73" s="101"/>
      <c r="G73" s="50">
        <f>SUM(G69)</f>
        <v>298748</v>
      </c>
      <c r="H73" s="156">
        <f>SUM(H69)</f>
        <v>298748</v>
      </c>
      <c r="I73" s="103"/>
      <c r="J73" s="50">
        <f>SUM(J69)</f>
        <v>339033</v>
      </c>
      <c r="K73" s="156">
        <f>SUM(K69)</f>
        <v>339033</v>
      </c>
      <c r="L73" s="57"/>
      <c r="M73" s="149">
        <f>SUM(M69)</f>
        <v>348366.36</v>
      </c>
      <c r="N73" s="156">
        <f>SUM(N69)</f>
        <v>348367.13</v>
      </c>
      <c r="O73" s="139"/>
      <c r="P73" s="149">
        <v>387528.42</v>
      </c>
      <c r="Q73" s="156">
        <v>387529.42</v>
      </c>
      <c r="R73" s="234"/>
      <c r="S73" s="203">
        <f>S69</f>
        <v>469162.28224712005</v>
      </c>
      <c r="T73" s="179"/>
      <c r="U73" s="204">
        <f>SUM(S73-P73)</f>
        <v>81633.862247120065</v>
      </c>
      <c r="V73" s="179"/>
      <c r="W73" s="228">
        <f t="shared" si="6"/>
        <v>0.21065258193739719</v>
      </c>
    </row>
    <row r="74" spans="1:23" ht="4.5" customHeight="1">
      <c r="A74" s="110"/>
      <c r="B74" s="2"/>
      <c r="C74" s="3"/>
      <c r="D74" s="99"/>
      <c r="E74" s="47"/>
      <c r="F74" s="101"/>
      <c r="G74" s="46"/>
      <c r="H74" s="47"/>
      <c r="I74" s="103"/>
      <c r="J74" s="69"/>
      <c r="K74" s="81"/>
      <c r="L74" s="57"/>
      <c r="M74" s="135"/>
      <c r="N74" s="155"/>
      <c r="O74" s="139"/>
      <c r="P74" s="135"/>
      <c r="Q74" s="155"/>
      <c r="R74" s="234"/>
      <c r="S74" s="181"/>
      <c r="T74" s="179"/>
      <c r="U74" s="205"/>
      <c r="V74" s="179"/>
      <c r="W74" s="227"/>
    </row>
    <row r="75" spans="1:23" ht="13.5" customHeight="1">
      <c r="A75" s="38" t="s">
        <v>7</v>
      </c>
      <c r="B75" s="2"/>
      <c r="C75" s="3"/>
      <c r="D75" s="99"/>
      <c r="E75" s="47"/>
      <c r="F75" s="101"/>
      <c r="G75" s="46"/>
      <c r="H75" s="47"/>
      <c r="I75" s="103"/>
      <c r="J75" s="69"/>
      <c r="K75" s="81"/>
      <c r="L75" s="57"/>
      <c r="M75" s="135"/>
      <c r="N75" s="155"/>
      <c r="O75" s="139"/>
      <c r="P75" s="135"/>
      <c r="Q75" s="155"/>
      <c r="R75" s="234"/>
      <c r="S75" s="181"/>
      <c r="T75" s="179"/>
      <c r="U75" s="205"/>
      <c r="V75" s="179"/>
      <c r="W75" s="227"/>
    </row>
    <row r="76" spans="1:23" ht="7.5" customHeight="1">
      <c r="A76" s="110"/>
      <c r="B76" s="2"/>
      <c r="C76" s="3"/>
      <c r="D76" s="99"/>
      <c r="E76" s="100"/>
      <c r="F76" s="101"/>
      <c r="G76" s="102"/>
      <c r="H76" s="100"/>
      <c r="I76" s="103"/>
      <c r="J76" s="104"/>
      <c r="K76" s="105"/>
      <c r="L76" s="106"/>
      <c r="M76" s="135"/>
      <c r="N76" s="155"/>
      <c r="O76" s="139"/>
      <c r="P76" s="135"/>
      <c r="Q76" s="155"/>
      <c r="R76" s="234"/>
      <c r="S76" s="181"/>
      <c r="T76" s="179"/>
      <c r="U76" s="205"/>
      <c r="V76" s="179"/>
      <c r="W76" s="227"/>
    </row>
    <row r="77" spans="1:23" ht="13.5" customHeight="1">
      <c r="A77" s="22">
        <v>4640333</v>
      </c>
      <c r="B77" s="6" t="s">
        <v>42</v>
      </c>
      <c r="D77" s="59">
        <v>25000</v>
      </c>
      <c r="E77" s="47">
        <v>27200</v>
      </c>
      <c r="F77" s="40"/>
      <c r="G77" s="46">
        <v>25000</v>
      </c>
      <c r="H77" s="47">
        <v>12500</v>
      </c>
      <c r="I77" s="41"/>
      <c r="J77" s="69">
        <v>25000</v>
      </c>
      <c r="K77" s="82">
        <v>3300</v>
      </c>
      <c r="L77" s="40"/>
      <c r="M77" s="135">
        <v>25000</v>
      </c>
      <c r="N77" s="155">
        <v>15536</v>
      </c>
      <c r="O77" s="139"/>
      <c r="P77" s="135">
        <v>25000</v>
      </c>
      <c r="Q77" s="155">
        <v>28474</v>
      </c>
      <c r="R77" s="234"/>
      <c r="S77" s="206">
        <v>30000</v>
      </c>
      <c r="T77" s="179"/>
      <c r="U77" s="205">
        <f>SUM(S77-P77)</f>
        <v>5000</v>
      </c>
      <c r="V77" s="179"/>
      <c r="W77" s="236">
        <f>SUM(U77/P77)</f>
        <v>0.2</v>
      </c>
    </row>
    <row r="78" spans="1:23" ht="13.5" customHeight="1">
      <c r="A78" s="22">
        <v>4710631</v>
      </c>
      <c r="B78" s="6" t="s">
        <v>14</v>
      </c>
      <c r="D78" s="59">
        <v>0</v>
      </c>
      <c r="E78" s="47">
        <v>640</v>
      </c>
      <c r="F78" s="40"/>
      <c r="G78" s="46">
        <v>0</v>
      </c>
      <c r="H78" s="47">
        <v>0</v>
      </c>
      <c r="I78" s="41"/>
      <c r="J78" s="69">
        <v>0</v>
      </c>
      <c r="K78" s="82">
        <v>0</v>
      </c>
      <c r="L78" s="40"/>
      <c r="M78" s="135">
        <v>0</v>
      </c>
      <c r="N78" s="155"/>
      <c r="O78" s="139"/>
      <c r="P78" s="135">
        <v>226</v>
      </c>
      <c r="Q78" s="155">
        <v>0</v>
      </c>
      <c r="R78" s="234"/>
      <c r="S78" s="206">
        <v>0</v>
      </c>
      <c r="T78" s="179"/>
      <c r="U78" s="205">
        <v>-226</v>
      </c>
      <c r="V78" s="179"/>
      <c r="W78" s="236">
        <f>SUM(U78/P78)</f>
        <v>-1</v>
      </c>
    </row>
    <row r="79" spans="1:23" ht="13.5" customHeight="1">
      <c r="A79" s="22"/>
      <c r="D79" s="118">
        <f>SUM(D77:D78)</f>
        <v>25000</v>
      </c>
      <c r="E79" s="45">
        <f>SUM(E77:E78)</f>
        <v>27840</v>
      </c>
      <c r="F79" s="40"/>
      <c r="G79" s="50">
        <f>SUM(G77)</f>
        <v>25000</v>
      </c>
      <c r="H79" s="45">
        <f>SUM(H77:H78)</f>
        <v>12500</v>
      </c>
      <c r="I79" s="41"/>
      <c r="J79" s="70">
        <f>SUM(J77)</f>
        <v>25000</v>
      </c>
      <c r="K79" s="84">
        <f>SUM(K77:K78)</f>
        <v>3300</v>
      </c>
      <c r="L79" s="40"/>
      <c r="M79" s="149">
        <f>SUM(M77)</f>
        <v>25000</v>
      </c>
      <c r="N79" s="156">
        <f>SUM(N77:N78)</f>
        <v>15536</v>
      </c>
      <c r="O79" s="139"/>
      <c r="P79" s="149">
        <v>25226</v>
      </c>
      <c r="Q79" s="156">
        <v>28474</v>
      </c>
      <c r="R79" s="234"/>
      <c r="S79" s="207">
        <f>SUM(S77:S78)</f>
        <v>30000</v>
      </c>
      <c r="T79" s="179"/>
      <c r="U79" s="208">
        <f>SUM(S79-P79)</f>
        <v>4774</v>
      </c>
      <c r="V79" s="179"/>
      <c r="W79" s="242">
        <f>SUM(U79/P79)</f>
        <v>0.18924918734638865</v>
      </c>
    </row>
    <row r="80" spans="1:23" ht="5.25" customHeight="1">
      <c r="A80" s="22"/>
      <c r="D80" s="59"/>
      <c r="E80" s="47"/>
      <c r="F80" s="40"/>
      <c r="G80" s="46"/>
      <c r="H80" s="47"/>
      <c r="I80" s="41"/>
      <c r="J80" s="69"/>
      <c r="K80" s="82"/>
      <c r="L80" s="40"/>
      <c r="M80" s="141"/>
      <c r="N80" s="159"/>
      <c r="O80" s="139"/>
      <c r="P80" s="141"/>
      <c r="Q80" s="159"/>
      <c r="R80" s="234"/>
      <c r="S80" s="181"/>
      <c r="T80" s="179"/>
      <c r="U80" s="205"/>
      <c r="V80" s="179"/>
      <c r="W80" s="227"/>
    </row>
    <row r="81" spans="1:23" ht="13.5" customHeight="1">
      <c r="A81" s="38" t="s">
        <v>8</v>
      </c>
      <c r="D81" s="59"/>
      <c r="E81" s="47"/>
      <c r="F81" s="40"/>
      <c r="G81" s="46"/>
      <c r="H81" s="47"/>
      <c r="I81" s="41"/>
      <c r="J81" s="69"/>
      <c r="K81" s="82"/>
      <c r="L81" s="40"/>
      <c r="M81" s="141"/>
      <c r="N81" s="159"/>
      <c r="O81" s="139"/>
      <c r="P81" s="141"/>
      <c r="Q81" s="159"/>
      <c r="R81" s="234"/>
      <c r="S81" s="181"/>
      <c r="T81" s="179"/>
      <c r="U81" s="205"/>
      <c r="V81" s="179"/>
      <c r="W81" s="227"/>
    </row>
    <row r="82" spans="1:23" ht="8.25" customHeight="1">
      <c r="A82" s="22"/>
      <c r="D82" s="59"/>
      <c r="E82" s="47"/>
      <c r="F82" s="40"/>
      <c r="G82" s="46"/>
      <c r="H82" s="47"/>
      <c r="I82" s="41"/>
      <c r="J82" s="69"/>
      <c r="K82" s="82"/>
      <c r="L82" s="40"/>
      <c r="M82" s="141"/>
      <c r="N82" s="159"/>
      <c r="O82" s="139"/>
      <c r="P82" s="141"/>
      <c r="Q82" s="159"/>
      <c r="R82" s="234"/>
      <c r="S82" s="181"/>
      <c r="T82" s="179"/>
      <c r="U82" s="205"/>
      <c r="V82" s="179"/>
      <c r="W82" s="227"/>
    </row>
    <row r="83" spans="1:23" ht="13.5" customHeight="1">
      <c r="A83" s="22">
        <v>70130</v>
      </c>
      <c r="B83" s="6" t="s">
        <v>9</v>
      </c>
      <c r="D83" s="59"/>
      <c r="E83" s="47"/>
      <c r="F83" s="40"/>
      <c r="G83" s="46">
        <v>0</v>
      </c>
      <c r="H83" s="47"/>
      <c r="I83" s="41"/>
      <c r="J83" s="69">
        <v>0</v>
      </c>
      <c r="K83" s="82"/>
      <c r="L83" s="40"/>
      <c r="M83" s="135">
        <v>1500</v>
      </c>
      <c r="N83" s="155">
        <v>700</v>
      </c>
      <c r="O83" s="139"/>
      <c r="P83" s="135">
        <v>1500</v>
      </c>
      <c r="Q83" s="155">
        <v>500</v>
      </c>
      <c r="R83" s="234"/>
      <c r="S83" s="206">
        <v>1500</v>
      </c>
      <c r="T83" s="179"/>
      <c r="U83" s="201">
        <v>0</v>
      </c>
      <c r="V83" s="179"/>
      <c r="W83" s="236" t="s">
        <v>59</v>
      </c>
    </row>
    <row r="84" spans="1:23" ht="13.5" customHeight="1">
      <c r="A84" s="22"/>
      <c r="D84" s="118"/>
      <c r="E84" s="45"/>
      <c r="F84" s="40"/>
      <c r="G84" s="50">
        <v>0</v>
      </c>
      <c r="H84" s="45"/>
      <c r="I84" s="41"/>
      <c r="J84" s="70">
        <v>0</v>
      </c>
      <c r="K84" s="84"/>
      <c r="L84" s="40"/>
      <c r="M84" s="149">
        <f>SUM(M83)</f>
        <v>1500</v>
      </c>
      <c r="N84" s="156">
        <f>SUM(N83)</f>
        <v>700</v>
      </c>
      <c r="O84" s="139"/>
      <c r="P84" s="149">
        <v>1500</v>
      </c>
      <c r="Q84" s="156">
        <v>500</v>
      </c>
      <c r="R84" s="234"/>
      <c r="S84" s="207">
        <f>SUM(S83)</f>
        <v>1500</v>
      </c>
      <c r="T84" s="179"/>
      <c r="U84" s="204">
        <v>0</v>
      </c>
      <c r="V84" s="179"/>
      <c r="W84" s="242" t="s">
        <v>59</v>
      </c>
    </row>
    <row r="85" spans="1:23" ht="13.5" customHeight="1">
      <c r="A85" s="22"/>
      <c r="D85" s="59"/>
      <c r="E85" s="47"/>
      <c r="F85" s="40"/>
      <c r="G85" s="46"/>
      <c r="H85" s="47"/>
      <c r="I85" s="41"/>
      <c r="J85" s="69"/>
      <c r="K85" s="82"/>
      <c r="L85" s="40"/>
      <c r="M85" s="135"/>
      <c r="N85" s="155"/>
      <c r="O85" s="139"/>
      <c r="P85" s="135"/>
      <c r="Q85" s="155"/>
      <c r="R85" s="234"/>
      <c r="S85" s="181"/>
      <c r="T85" s="179"/>
      <c r="U85" s="205"/>
      <c r="V85" s="179"/>
      <c r="W85" s="227"/>
    </row>
    <row r="86" spans="1:23" ht="13.5" thickBot="1">
      <c r="B86" s="9" t="s">
        <v>11</v>
      </c>
      <c r="C86" s="9"/>
      <c r="D86" s="122">
        <f>SUM(D73+D79)</f>
        <v>296589</v>
      </c>
      <c r="E86" s="120">
        <f>SUM(E73+E79)</f>
        <v>299429</v>
      </c>
      <c r="F86" s="57"/>
      <c r="G86" s="119">
        <f>SUM(G73+G79+G84)</f>
        <v>323748</v>
      </c>
      <c r="H86" s="120">
        <f>SUM(H73+H79)</f>
        <v>311248</v>
      </c>
      <c r="I86" s="123"/>
      <c r="J86" s="124">
        <f>SUM(J73+J79+J84)</f>
        <v>364033</v>
      </c>
      <c r="K86" s="121">
        <f>SUM(K73+K79)</f>
        <v>342333</v>
      </c>
      <c r="L86" s="57"/>
      <c r="M86" s="150">
        <f>SUM(M73+M79+M84)</f>
        <v>374866.36</v>
      </c>
      <c r="N86" s="164">
        <f>SUM(N73+N79+N84)</f>
        <v>364603.13</v>
      </c>
      <c r="O86" s="139"/>
      <c r="P86" s="150">
        <v>414254.42</v>
      </c>
      <c r="Q86" s="164">
        <v>416503.42</v>
      </c>
      <c r="R86" s="234"/>
      <c r="S86" s="209">
        <f>SUM(S73+S79+S84)</f>
        <v>500662.28224712005</v>
      </c>
      <c r="T86" s="179"/>
      <c r="U86" s="210">
        <f>SUM(S86-P86)</f>
        <v>86407.862247120065</v>
      </c>
      <c r="V86" s="211"/>
      <c r="W86" s="230">
        <f>SUM(U86/P86)</f>
        <v>0.20858645816529867</v>
      </c>
    </row>
    <row r="87" spans="1:23" ht="4.5" customHeight="1" thickTop="1" thickBot="1">
      <c r="B87" s="22"/>
      <c r="D87" s="35"/>
      <c r="E87" s="42"/>
      <c r="G87" s="34"/>
      <c r="H87" s="42"/>
      <c r="J87" s="73"/>
      <c r="K87" s="76"/>
      <c r="M87" s="147"/>
      <c r="N87" s="165"/>
      <c r="O87" s="139"/>
      <c r="P87" s="147"/>
      <c r="Q87" s="165"/>
      <c r="R87" s="234"/>
      <c r="S87" s="197"/>
      <c r="T87" s="198"/>
      <c r="U87" s="198"/>
      <c r="V87" s="198"/>
      <c r="W87" s="199"/>
    </row>
    <row r="88" spans="1:23" ht="5.25" customHeight="1">
      <c r="B88" s="22"/>
      <c r="D88" s="14"/>
      <c r="E88" s="28"/>
      <c r="G88" s="11"/>
      <c r="H88" s="28"/>
      <c r="J88" s="14"/>
      <c r="M88" s="14"/>
      <c r="N88" s="9"/>
      <c r="O88" s="9"/>
      <c r="P88" s="9"/>
      <c r="Q88" s="9"/>
      <c r="R88" s="9"/>
      <c r="S88" s="139"/>
      <c r="T88" s="139"/>
      <c r="U88" s="139"/>
      <c r="V88" s="139"/>
      <c r="W88" s="139"/>
    </row>
    <row r="89" spans="1:23" s="10" customFormat="1">
      <c r="A89" s="129" t="s">
        <v>13</v>
      </c>
      <c r="B89" s="86"/>
      <c r="C89" s="79"/>
      <c r="D89" s="87">
        <f>SUM(D86-D56)</f>
        <v>-20660</v>
      </c>
      <c r="E89" s="87">
        <f>SUM(E86-E56)</f>
        <v>-6887.2799999999697</v>
      </c>
      <c r="F89" s="77"/>
      <c r="G89" s="87">
        <f>SUM(G86-G56)</f>
        <v>-4584</v>
      </c>
      <c r="H89" s="87">
        <f>SUM(H86-H56)</f>
        <v>-11574.380000000005</v>
      </c>
      <c r="I89" s="58"/>
      <c r="J89" s="88">
        <f>SUM(J86-J56)</f>
        <v>0</v>
      </c>
      <c r="K89" s="88">
        <f>SUM(K86-K56)</f>
        <v>58672.780000000028</v>
      </c>
      <c r="L89" s="77"/>
      <c r="M89" s="88">
        <v>0</v>
      </c>
      <c r="N89" s="88">
        <f>SUM(N86-N56)</f>
        <v>6063.5900000000256</v>
      </c>
      <c r="O89" s="88"/>
      <c r="P89" s="88">
        <f>SUM(P86-P56)</f>
        <v>-50000</v>
      </c>
      <c r="Q89" s="88">
        <f>SUM(Q86-Q56)</f>
        <v>-49727.719999999972</v>
      </c>
      <c r="R89" s="88"/>
      <c r="S89" s="88">
        <f>SUM(S86-S56)</f>
        <v>-25000</v>
      </c>
      <c r="T89" s="139"/>
      <c r="U89" s="139"/>
      <c r="V89" s="139"/>
      <c r="W89" s="139"/>
    </row>
    <row r="90" spans="1:23">
      <c r="B90" s="22"/>
      <c r="D90" s="14"/>
      <c r="E90" s="28"/>
      <c r="G90" s="11"/>
      <c r="H90" s="28"/>
      <c r="J90" s="11"/>
      <c r="M90" s="80"/>
      <c r="N90" s="79"/>
      <c r="O90" s="79"/>
      <c r="P90" s="79"/>
      <c r="Q90" s="79"/>
      <c r="R90" s="79"/>
      <c r="S90" s="139"/>
      <c r="T90" s="139"/>
      <c r="U90" s="139"/>
      <c r="V90" s="139"/>
      <c r="W90" s="139"/>
    </row>
    <row r="91" spans="1:23" ht="3.75" customHeight="1">
      <c r="A91" s="65"/>
      <c r="B91" s="89"/>
      <c r="C91" s="64"/>
      <c r="D91" s="85"/>
      <c r="E91" s="90"/>
      <c r="F91" s="64"/>
      <c r="G91" s="67"/>
      <c r="H91" s="90"/>
      <c r="I91" s="65"/>
      <c r="J91" s="67"/>
      <c r="K91" s="66"/>
      <c r="L91" s="66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</row>
    <row r="92" spans="1:23" ht="7.5" customHeight="1">
      <c r="B92" s="22"/>
      <c r="D92" s="14"/>
      <c r="E92" s="28"/>
      <c r="G92" s="11"/>
      <c r="H92" s="28"/>
      <c r="J92" s="11"/>
      <c r="M92" s="80"/>
      <c r="N92" s="79"/>
      <c r="O92" s="79"/>
      <c r="P92" s="79"/>
      <c r="Q92" s="79"/>
      <c r="R92" s="79"/>
      <c r="S92" s="139"/>
      <c r="T92" s="139"/>
      <c r="U92" s="139"/>
      <c r="V92" s="139"/>
      <c r="W92" s="139"/>
    </row>
    <row r="93" spans="1:23" ht="9" customHeight="1">
      <c r="B93" s="22"/>
      <c r="D93" s="14"/>
      <c r="E93" s="28"/>
      <c r="G93" s="11"/>
      <c r="H93" s="28"/>
      <c r="J93" s="11"/>
      <c r="M93" s="80"/>
      <c r="N93" s="79"/>
      <c r="O93" s="79"/>
      <c r="P93" s="79"/>
      <c r="Q93" s="79"/>
      <c r="R93" s="79"/>
      <c r="S93" s="139"/>
      <c r="T93" s="139"/>
      <c r="U93" s="139"/>
      <c r="V93" s="139"/>
      <c r="W93" s="139"/>
    </row>
    <row r="94" spans="1:23" ht="11.25">
      <c r="A94" s="96" t="s">
        <v>299</v>
      </c>
      <c r="B94" s="97"/>
      <c r="C94" s="95"/>
      <c r="D94" s="93"/>
      <c r="E94" s="94"/>
      <c r="F94" s="95"/>
      <c r="G94" s="95"/>
      <c r="H94" s="94"/>
      <c r="I94" s="98"/>
      <c r="J94" s="95"/>
      <c r="K94" s="95"/>
      <c r="L94" s="93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</row>
    <row r="95" spans="1:23" ht="3" customHeight="1">
      <c r="A95" s="96"/>
      <c r="B95" s="97"/>
      <c r="C95" s="95"/>
      <c r="D95" s="93"/>
      <c r="E95" s="94"/>
      <c r="F95" s="95"/>
      <c r="G95" s="95"/>
      <c r="H95" s="94"/>
      <c r="I95" s="98"/>
      <c r="J95" s="95"/>
      <c r="K95" s="95"/>
      <c r="L95" s="93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</row>
    <row r="96" spans="1:23" ht="11.25">
      <c r="A96" s="231" t="s">
        <v>159</v>
      </c>
      <c r="B96" s="96"/>
      <c r="C96" s="93"/>
      <c r="D96" s="92"/>
      <c r="E96" s="232">
        <f>SUM(H96-E89)</f>
        <v>217513.65999999997</v>
      </c>
      <c r="F96" s="233"/>
      <c r="G96" s="232"/>
      <c r="H96" s="232">
        <f>SUM(K96-H89)</f>
        <v>210626.38</v>
      </c>
      <c r="I96" s="233"/>
      <c r="J96" s="232"/>
      <c r="K96" s="92">
        <v>199052</v>
      </c>
      <c r="L96" s="233"/>
      <c r="M96" s="92"/>
      <c r="N96" s="92">
        <v>196618</v>
      </c>
      <c r="O96" s="92"/>
      <c r="P96" s="92"/>
      <c r="Q96" s="92">
        <f>SUM(N96+Q89)</f>
        <v>146890.28000000003</v>
      </c>
      <c r="R96" s="92"/>
      <c r="S96" s="92">
        <f>SUM(Q96+S89)</f>
        <v>121890.28000000003</v>
      </c>
      <c r="T96" s="92"/>
      <c r="U96" s="92"/>
      <c r="V96" s="92"/>
      <c r="W96" s="92"/>
    </row>
    <row r="97" spans="1:23" ht="11.25">
      <c r="C97" s="6"/>
      <c r="D97" s="6"/>
      <c r="E97" s="6"/>
      <c r="F97" s="6"/>
      <c r="G97" s="6"/>
      <c r="J97" s="6"/>
      <c r="K97" s="6"/>
      <c r="L97" s="6"/>
      <c r="M97" s="6"/>
      <c r="S97" s="6"/>
      <c r="T97" s="6"/>
      <c r="U97" s="6"/>
      <c r="V97" s="6"/>
      <c r="W97" s="6"/>
    </row>
    <row r="98" spans="1:23">
      <c r="A98" s="388" t="s">
        <v>211</v>
      </c>
      <c r="B98" s="389"/>
      <c r="C98" s="390"/>
      <c r="D98" s="391">
        <f>SUM(D56*20%)</f>
        <v>63449.8</v>
      </c>
      <c r="E98" s="391"/>
      <c r="F98" s="392"/>
      <c r="G98" s="391">
        <f>SUM(G56*20%)</f>
        <v>65666.400000000009</v>
      </c>
      <c r="H98" s="391"/>
      <c r="I98" s="392"/>
      <c r="J98" s="391">
        <f>SUM(J56*20%)</f>
        <v>72806.600000000006</v>
      </c>
      <c r="K98" s="391"/>
      <c r="L98" s="392"/>
      <c r="M98" s="391">
        <f>SUM(M56*20%)</f>
        <v>74973.268000000011</v>
      </c>
      <c r="N98" s="391"/>
      <c r="O98" s="391"/>
      <c r="P98" s="391">
        <f>SUM(P56*20%)</f>
        <v>92850.884000000005</v>
      </c>
      <c r="Q98" s="391"/>
      <c r="R98" s="391"/>
      <c r="S98" s="391">
        <f>SUM(S56*20%)</f>
        <v>105132.45644942402</v>
      </c>
      <c r="T98" s="393"/>
      <c r="U98" s="394"/>
      <c r="V98" s="394"/>
      <c r="W98" s="395"/>
    </row>
    <row r="99" spans="1:23" s="58" customFormat="1" ht="3" customHeight="1">
      <c r="A99" s="37"/>
      <c r="B99" s="6"/>
      <c r="C99" s="7"/>
      <c r="D99" s="7"/>
      <c r="E99" s="6"/>
      <c r="F99" s="6"/>
      <c r="G99" s="6"/>
      <c r="H99" s="6"/>
      <c r="I99" s="6"/>
      <c r="J99" s="10"/>
      <c r="K99" s="10"/>
      <c r="L99" s="10"/>
      <c r="M99" s="6"/>
      <c r="N99" s="6"/>
      <c r="O99" s="6"/>
      <c r="P99" s="6"/>
      <c r="Q99" s="6"/>
      <c r="R99" s="6"/>
      <c r="S99" s="112"/>
      <c r="T99" s="112"/>
    </row>
    <row r="100" spans="1:23">
      <c r="A100" s="4"/>
      <c r="D100" s="7"/>
      <c r="E100" s="6"/>
      <c r="F100" s="6"/>
      <c r="G100" s="6"/>
      <c r="J100" s="10"/>
      <c r="K100" s="10"/>
      <c r="L100" s="10"/>
      <c r="M100" s="6"/>
    </row>
    <row r="101" spans="1:23">
      <c r="A101" s="246" t="s">
        <v>233</v>
      </c>
      <c r="B101" s="253"/>
      <c r="C101" s="264"/>
      <c r="D101" s="264"/>
      <c r="E101" s="253"/>
      <c r="F101" s="253"/>
      <c r="G101" s="253"/>
      <c r="H101" s="253"/>
      <c r="I101" s="253"/>
      <c r="J101" s="347"/>
      <c r="K101" s="347"/>
      <c r="L101" s="347"/>
      <c r="M101" s="253"/>
      <c r="N101" s="253"/>
      <c r="O101" s="253"/>
      <c r="P101" s="253"/>
      <c r="Q101" s="253"/>
      <c r="R101" s="253"/>
      <c r="S101" s="346"/>
      <c r="T101" s="346"/>
      <c r="U101" s="126"/>
      <c r="V101" s="126"/>
      <c r="W101" s="348"/>
    </row>
    <row r="102" spans="1:23">
      <c r="A102" s="112">
        <v>1</v>
      </c>
      <c r="B102" s="6" t="s">
        <v>230</v>
      </c>
    </row>
    <row r="103" spans="1:23">
      <c r="B103" s="6" t="s">
        <v>234</v>
      </c>
    </row>
    <row r="104" spans="1:23">
      <c r="B104" s="6" t="s">
        <v>312</v>
      </c>
    </row>
    <row r="105" spans="1:23" ht="6.75" customHeight="1">
      <c r="A105" s="112"/>
    </row>
    <row r="106" spans="1:23">
      <c r="A106" s="112">
        <v>2</v>
      </c>
      <c r="B106" s="6" t="s">
        <v>327</v>
      </c>
      <c r="U106" s="235"/>
      <c r="V106" s="235"/>
    </row>
    <row r="107" spans="1:23" ht="6.75" customHeight="1">
      <c r="A107" s="112"/>
      <c r="U107" s="235"/>
      <c r="V107" s="235"/>
    </row>
    <row r="108" spans="1:23" ht="15">
      <c r="A108" s="112">
        <v>3</v>
      </c>
      <c r="B108" s="212" t="s">
        <v>235</v>
      </c>
    </row>
    <row r="109" spans="1:23">
      <c r="A109" s="112"/>
      <c r="B109" s="212" t="s">
        <v>227</v>
      </c>
      <c r="U109" s="235"/>
      <c r="V109" s="235"/>
    </row>
    <row r="110" spans="1:23">
      <c r="A110" s="112"/>
      <c r="B110" s="212" t="s">
        <v>228</v>
      </c>
      <c r="U110" s="235"/>
      <c r="V110" s="235"/>
    </row>
    <row r="111" spans="1:23">
      <c r="A111" s="112"/>
      <c r="B111" s="212" t="s">
        <v>229</v>
      </c>
      <c r="U111" s="235"/>
      <c r="V111" s="235"/>
    </row>
    <row r="112" spans="1:23" ht="6.75" customHeight="1">
      <c r="A112" s="112"/>
    </row>
    <row r="113" spans="1:2">
      <c r="A113" s="112">
        <v>4</v>
      </c>
      <c r="B113" s="6" t="s">
        <v>326</v>
      </c>
    </row>
    <row r="114" spans="1:2" ht="6.75" customHeight="1">
      <c r="A114" s="112"/>
    </row>
    <row r="115" spans="1:2">
      <c r="A115" s="112">
        <v>5</v>
      </c>
      <c r="B115" s="6" t="s">
        <v>231</v>
      </c>
    </row>
    <row r="116" spans="1:2" ht="6.75" customHeight="1">
      <c r="A116" s="112"/>
    </row>
    <row r="117" spans="1:2">
      <c r="A117" s="112">
        <v>6</v>
      </c>
      <c r="B117" s="6" t="s">
        <v>232</v>
      </c>
    </row>
    <row r="118" spans="1:2" ht="6.75" customHeight="1">
      <c r="A118" s="112"/>
    </row>
    <row r="119" spans="1:2">
      <c r="A119" s="112">
        <v>7</v>
      </c>
      <c r="B119" s="6" t="s">
        <v>313</v>
      </c>
    </row>
    <row r="120" spans="1:2" ht="6.75" customHeight="1"/>
    <row r="121" spans="1:2">
      <c r="A121" s="112">
        <v>8</v>
      </c>
      <c r="B121" s="6" t="s">
        <v>236</v>
      </c>
    </row>
    <row r="137" spans="4:11">
      <c r="D137" s="36"/>
      <c r="E137" s="9"/>
      <c r="F137" s="9"/>
      <c r="G137" s="9"/>
    </row>
    <row r="138" spans="4:11">
      <c r="J138" s="7"/>
      <c r="K138" s="7"/>
    </row>
    <row r="139" spans="4:11">
      <c r="J139" s="7"/>
      <c r="K139" s="7"/>
    </row>
    <row r="140" spans="4:11">
      <c r="J140" s="7"/>
      <c r="K140" s="7"/>
    </row>
    <row r="141" spans="4:11">
      <c r="J141" s="7"/>
      <c r="K141" s="7"/>
    </row>
    <row r="142" spans="4:11">
      <c r="J142" s="7"/>
      <c r="K142" s="7"/>
    </row>
  </sheetData>
  <phoneticPr fontId="0" type="noConversion"/>
  <pageMargins left="0.25" right="0.25" top="0.4" bottom="0.78" header="0.05" footer="0.05"/>
  <pageSetup scale="80" orientation="landscape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C31:F36"/>
  <sheetViews>
    <sheetView workbookViewId="0">
      <selection activeCell="H35" sqref="H35"/>
    </sheetView>
  </sheetViews>
  <sheetFormatPr defaultRowHeight="12.75"/>
  <sheetData>
    <row r="31" spans="3:6">
      <c r="C31" s="514" t="s">
        <v>317</v>
      </c>
      <c r="D31" s="514" t="s">
        <v>203</v>
      </c>
      <c r="E31" s="9" t="s">
        <v>237</v>
      </c>
      <c r="F31" s="9" t="s">
        <v>239</v>
      </c>
    </row>
    <row r="32" spans="3:6">
      <c r="C32" s="22" t="s">
        <v>314</v>
      </c>
      <c r="D32" s="517">
        <f>'2016-17 Proposed Budget'!M21</f>
        <v>279485.51000000007</v>
      </c>
      <c r="E32" s="266">
        <f>'2016-17 Proposed Budget'!P21</f>
        <v>375303.67</v>
      </c>
      <c r="F32" s="266">
        <f>'2016-17 Proposed Budget'!S21</f>
        <v>398716.33224712004</v>
      </c>
    </row>
    <row r="33" spans="3:6">
      <c r="C33" s="515" t="s">
        <v>316</v>
      </c>
      <c r="D33" s="518">
        <f>'2016-17 Proposed Budget'!M32</f>
        <v>42096.229999999996</v>
      </c>
      <c r="E33" s="266">
        <f>'2016-17 Proposed Budget'!P32</f>
        <v>37367</v>
      </c>
      <c r="F33" s="266">
        <f>'2016-17 Proposed Budget'!S32</f>
        <v>47966.25</v>
      </c>
    </row>
    <row r="34" spans="3:6">
      <c r="C34" s="515" t="s">
        <v>315</v>
      </c>
      <c r="D34" s="518">
        <f>'2016-17 Proposed Budget'!M48</f>
        <v>53284.6</v>
      </c>
      <c r="E34" s="266">
        <f>'2016-17 Proposed Budget'!P48</f>
        <v>51583.75</v>
      </c>
      <c r="F34" s="266">
        <f>'2016-17 Proposed Budget'!S48</f>
        <v>78979.7</v>
      </c>
    </row>
    <row r="35" spans="3:6">
      <c r="C35" s="516"/>
      <c r="D35" s="516"/>
      <c r="E35" s="513"/>
      <c r="F35" s="513"/>
    </row>
    <row r="36" spans="3:6">
      <c r="C36" s="31"/>
      <c r="D36" s="31"/>
      <c r="E36" s="6"/>
      <c r="F36" s="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A1:I47"/>
  <sheetViews>
    <sheetView zoomScaleNormal="100" workbookViewId="0">
      <selection activeCell="Q26" sqref="Q26"/>
    </sheetView>
  </sheetViews>
  <sheetFormatPr defaultRowHeight="11.25"/>
  <cols>
    <col min="1" max="1" width="12.5703125" style="6" customWidth="1"/>
    <col min="2" max="2" width="12.85546875" style="6" bestFit="1" customWidth="1"/>
    <col min="3" max="3" width="12.7109375" style="6" bestFit="1" customWidth="1"/>
    <col min="4" max="4" width="13.85546875" style="6" customWidth="1"/>
    <col min="5" max="5" width="14.28515625" style="6" customWidth="1"/>
    <col min="6" max="6" width="12" style="6" customWidth="1"/>
    <col min="7" max="7" width="11.140625" style="6" bestFit="1" customWidth="1"/>
    <col min="8" max="8" width="6.28515625" style="112" bestFit="1" customWidth="1"/>
    <col min="9" max="9" width="11" style="6" bestFit="1" customWidth="1"/>
    <col min="10" max="10" width="2.42578125" style="6" customWidth="1"/>
    <col min="11" max="11" width="9.140625" style="6" bestFit="1" customWidth="1"/>
    <col min="12" max="12" width="6.28515625" style="6" bestFit="1" customWidth="1"/>
    <col min="13" max="13" width="11" style="6" bestFit="1" customWidth="1"/>
    <col min="14" max="14" width="2.85546875" style="6" customWidth="1"/>
    <col min="15" max="15" width="9.7109375" style="6" customWidth="1"/>
    <col min="16" max="16" width="8.5703125" style="6" customWidth="1"/>
    <col min="17" max="17" width="11" style="6" customWidth="1"/>
    <col min="18" max="18" width="10.28515625" style="6" bestFit="1" customWidth="1"/>
    <col min="19" max="16384" width="9.140625" style="6"/>
  </cols>
  <sheetData>
    <row r="1" spans="1:9" ht="21">
      <c r="A1" s="60" t="s">
        <v>292</v>
      </c>
    </row>
    <row r="3" spans="1:9">
      <c r="A3" s="350" t="s">
        <v>293</v>
      </c>
      <c r="B3" s="350"/>
      <c r="C3" s="351"/>
      <c r="D3" s="351"/>
      <c r="E3" s="351"/>
      <c r="G3" s="396"/>
      <c r="H3" s="397"/>
      <c r="I3" s="396"/>
    </row>
    <row r="4" spans="1:9" ht="12" thickBot="1">
      <c r="B4" s="243"/>
      <c r="C4" s="243"/>
      <c r="D4" s="243"/>
      <c r="E4" s="244" t="s">
        <v>79</v>
      </c>
      <c r="G4" s="398"/>
      <c r="H4" s="399"/>
      <c r="I4" s="400" t="s">
        <v>166</v>
      </c>
    </row>
    <row r="5" spans="1:9">
      <c r="B5" s="245"/>
      <c r="C5" s="245"/>
      <c r="D5" s="245"/>
      <c r="E5" s="245"/>
      <c r="G5" s="412"/>
      <c r="H5" s="413"/>
      <c r="I5" s="414"/>
    </row>
    <row r="6" spans="1:9">
      <c r="A6" s="246" t="s">
        <v>62</v>
      </c>
      <c r="B6" s="247" t="s">
        <v>158</v>
      </c>
      <c r="C6" s="248" t="s">
        <v>157</v>
      </c>
      <c r="D6" s="248" t="s">
        <v>63</v>
      </c>
      <c r="E6" s="248" t="s">
        <v>64</v>
      </c>
      <c r="G6" s="401" t="s">
        <v>78</v>
      </c>
      <c r="H6" s="402" t="s">
        <v>63</v>
      </c>
      <c r="I6" s="402" t="s">
        <v>64</v>
      </c>
    </row>
    <row r="7" spans="1:9">
      <c r="A7" s="6" t="s">
        <v>56</v>
      </c>
      <c r="B7" s="249">
        <v>1</v>
      </c>
      <c r="C7" s="250">
        <v>62.5</v>
      </c>
      <c r="D7" s="251">
        <v>2080</v>
      </c>
      <c r="E7" s="252">
        <f>SUM(C7*D7)</f>
        <v>130000</v>
      </c>
      <c r="G7" s="403">
        <f>SUM((C7)+(C7*3%))</f>
        <v>64.375</v>
      </c>
      <c r="H7" s="404">
        <f>SUM(D7)</f>
        <v>2080</v>
      </c>
      <c r="I7" s="405">
        <f>SUM(H7*G7)</f>
        <v>133900</v>
      </c>
    </row>
    <row r="8" spans="1:9">
      <c r="A8" s="6" t="s">
        <v>51</v>
      </c>
      <c r="B8" s="249">
        <v>0.875</v>
      </c>
      <c r="C8" s="250">
        <v>37.11</v>
      </c>
      <c r="D8" s="251">
        <v>1820</v>
      </c>
      <c r="E8" s="252">
        <f>SUM(C8*D8)</f>
        <v>67540.2</v>
      </c>
      <c r="G8" s="403">
        <f>SUM((C8)+(C8*3%))</f>
        <v>38.223300000000002</v>
      </c>
      <c r="H8" s="404">
        <f>SUM(D8)</f>
        <v>1820</v>
      </c>
      <c r="I8" s="405">
        <f>SUM(H8*G8)</f>
        <v>69566.406000000003</v>
      </c>
    </row>
    <row r="9" spans="1:9">
      <c r="A9" s="253" t="s">
        <v>165</v>
      </c>
      <c r="B9" s="254">
        <v>1</v>
      </c>
      <c r="C9" s="255">
        <f>SUM((34.15*83%)+(35.85*17%))</f>
        <v>34.439</v>
      </c>
      <c r="D9" s="256">
        <v>2080</v>
      </c>
      <c r="E9" s="257">
        <f>SUM(C9*D9)</f>
        <v>71633.119999999995</v>
      </c>
      <c r="G9" s="406">
        <f>SUM((C9)+(C9*3%))</f>
        <v>35.472169999999998</v>
      </c>
      <c r="H9" s="407">
        <f>SUM(D9)</f>
        <v>2080</v>
      </c>
      <c r="I9" s="408">
        <f>SUM(H9*G9)</f>
        <v>73782.113599999997</v>
      </c>
    </row>
    <row r="10" spans="1:9" ht="4.5" customHeight="1">
      <c r="A10" s="13"/>
      <c r="B10" s="258"/>
      <c r="C10" s="259"/>
      <c r="D10" s="260"/>
      <c r="E10" s="261"/>
      <c r="G10" s="415"/>
      <c r="H10" s="416"/>
      <c r="I10" s="417"/>
    </row>
    <row r="11" spans="1:9">
      <c r="B11" s="245"/>
      <c r="C11" s="262">
        <f>SUM(C7:C9)</f>
        <v>134.04900000000001</v>
      </c>
      <c r="D11" s="251">
        <f>SUM(D7:D9)</f>
        <v>5980</v>
      </c>
      <c r="E11" s="263">
        <f>SUM(E7:E9)</f>
        <v>269173.32</v>
      </c>
      <c r="G11" s="409">
        <f>SUM(G7:G9)</f>
        <v>138.07047</v>
      </c>
      <c r="H11" s="410">
        <f>SUM(H7:H9)</f>
        <v>5980</v>
      </c>
      <c r="I11" s="411">
        <f>SUM(I7:I9)</f>
        <v>277248.5196</v>
      </c>
    </row>
    <row r="12" spans="1:9">
      <c r="G12" s="412" t="s">
        <v>308</v>
      </c>
      <c r="H12" s="413"/>
      <c r="I12" s="412"/>
    </row>
    <row r="13" spans="1:9">
      <c r="A13" s="352" t="s">
        <v>22</v>
      </c>
      <c r="B13" s="352"/>
      <c r="C13" s="352"/>
      <c r="D13" s="352"/>
      <c r="E13" s="353"/>
    </row>
    <row r="14" spans="1:9">
      <c r="G14" s="396"/>
      <c r="H14" s="397"/>
      <c r="I14" s="396"/>
    </row>
    <row r="15" spans="1:9" ht="12" thickBot="1">
      <c r="A15" s="253" t="s">
        <v>71</v>
      </c>
      <c r="B15" s="264" t="s">
        <v>72</v>
      </c>
      <c r="C15" s="264" t="s">
        <v>45</v>
      </c>
      <c r="G15" s="398"/>
      <c r="H15" s="399"/>
      <c r="I15" s="400" t="s">
        <v>77</v>
      </c>
    </row>
    <row r="16" spans="1:9">
      <c r="A16" s="265">
        <v>1.4500000000000001E-2</v>
      </c>
      <c r="B16" s="266">
        <f>SUM(I11)</f>
        <v>277248.5196</v>
      </c>
      <c r="C16" s="267">
        <f>SUM(B16*A16)</f>
        <v>4020.1035342</v>
      </c>
      <c r="G16" s="401" t="s">
        <v>78</v>
      </c>
      <c r="H16" s="402" t="s">
        <v>63</v>
      </c>
      <c r="I16" s="402" t="s">
        <v>64</v>
      </c>
    </row>
    <row r="17" spans="1:9">
      <c r="A17" s="265"/>
      <c r="B17" s="266"/>
      <c r="C17" s="267"/>
      <c r="G17" s="403">
        <f>SUM((C7)+(C7*2.7%))</f>
        <v>64.1875</v>
      </c>
      <c r="H17" s="404">
        <f>SUM(D7)</f>
        <v>2080</v>
      </c>
      <c r="I17" s="405">
        <f>SUM(H17*G17)</f>
        <v>133510</v>
      </c>
    </row>
    <row r="18" spans="1:9">
      <c r="A18" s="354" t="s">
        <v>73</v>
      </c>
      <c r="B18" s="354"/>
      <c r="C18" s="354"/>
      <c r="D18" s="354"/>
      <c r="E18" s="354"/>
      <c r="G18" s="403">
        <f>SUM((C8)+(C8*2.7%))</f>
        <v>38.111969999999999</v>
      </c>
      <c r="H18" s="404">
        <f>SUM(D8)</f>
        <v>1820</v>
      </c>
      <c r="I18" s="405">
        <f>SUM(H18*G18)</f>
        <v>69363.785399999993</v>
      </c>
    </row>
    <row r="19" spans="1:9">
      <c r="F19" s="112"/>
      <c r="G19" s="406">
        <f>SUM((C9)+(C9*2.7%))</f>
        <v>35.368853000000001</v>
      </c>
      <c r="H19" s="407">
        <f>SUM(D9)</f>
        <v>2080</v>
      </c>
      <c r="I19" s="408">
        <f>SUM(H19*G19)</f>
        <v>73567.214240000001</v>
      </c>
    </row>
    <row r="20" spans="1:9">
      <c r="A20" s="268">
        <v>960</v>
      </c>
      <c r="B20" s="11"/>
      <c r="C20" s="11"/>
      <c r="F20" s="112"/>
      <c r="G20" s="409">
        <f>SUM(G17:G19)</f>
        <v>137.66832299999999</v>
      </c>
      <c r="H20" s="410">
        <f>SUM(H17:H19)</f>
        <v>5980</v>
      </c>
      <c r="I20" s="411">
        <f>SUM(I17:I19)</f>
        <v>276440.99963999999</v>
      </c>
    </row>
    <row r="21" spans="1:9" ht="10.5" customHeight="1">
      <c r="F21" s="112"/>
      <c r="G21" s="412"/>
      <c r="H21" s="412"/>
      <c r="I21" s="412"/>
    </row>
    <row r="22" spans="1:9">
      <c r="A22" s="269"/>
      <c r="B22" s="266"/>
      <c r="C22" s="266"/>
      <c r="F22" s="112"/>
      <c r="G22" s="396"/>
      <c r="H22" s="397"/>
      <c r="I22" s="396"/>
    </row>
    <row r="23" spans="1:9" ht="12" thickBot="1">
      <c r="A23" s="355" t="s">
        <v>208</v>
      </c>
      <c r="B23" s="355"/>
      <c r="C23" s="355"/>
      <c r="D23" s="355"/>
      <c r="E23" s="355"/>
      <c r="F23" s="112"/>
      <c r="G23" s="398"/>
      <c r="H23" s="399"/>
      <c r="I23" s="400" t="s">
        <v>221</v>
      </c>
    </row>
    <row r="24" spans="1:9">
      <c r="G24" s="412"/>
      <c r="H24" s="413"/>
      <c r="I24" s="414"/>
    </row>
    <row r="25" spans="1:9">
      <c r="A25" s="295" t="s">
        <v>215</v>
      </c>
      <c r="B25" s="264" t="s">
        <v>216</v>
      </c>
      <c r="C25" s="264" t="s">
        <v>45</v>
      </c>
      <c r="G25" s="401" t="s">
        <v>78</v>
      </c>
      <c r="H25" s="402" t="s">
        <v>63</v>
      </c>
      <c r="I25" s="402" t="s">
        <v>64</v>
      </c>
    </row>
    <row r="26" spans="1:9">
      <c r="A26" s="22">
        <v>15615</v>
      </c>
      <c r="B26" s="40">
        <v>0</v>
      </c>
      <c r="C26" s="271">
        <f>SUM(A26:B26)</f>
        <v>15615</v>
      </c>
      <c r="G26" s="403">
        <f>SUM((C7)+(C7*2.5%))</f>
        <v>64.0625</v>
      </c>
      <c r="H26" s="404">
        <f>SUM(D7)</f>
        <v>2080</v>
      </c>
      <c r="I26" s="405">
        <f>SUM(H26*G26)</f>
        <v>133250</v>
      </c>
    </row>
    <row r="27" spans="1:9">
      <c r="A27" s="22"/>
      <c r="B27" s="40"/>
      <c r="C27" s="271"/>
      <c r="G27" s="403">
        <f>SUM((C8)+(C8*2.5%))</f>
        <v>38.037750000000003</v>
      </c>
      <c r="H27" s="404">
        <f>SUM(D8)</f>
        <v>1820</v>
      </c>
      <c r="I27" s="405">
        <f>SUM(H27*G27)</f>
        <v>69228.705000000002</v>
      </c>
    </row>
    <row r="28" spans="1:9">
      <c r="A28" s="272" t="s">
        <v>207</v>
      </c>
      <c r="B28" s="272"/>
      <c r="C28" s="272"/>
      <c r="D28" s="272"/>
      <c r="E28" s="273"/>
      <c r="G28" s="406">
        <f>SUM((C9)+(C9*2.5%))</f>
        <v>35.299975000000003</v>
      </c>
      <c r="H28" s="407">
        <f>SUM(D9)</f>
        <v>2080</v>
      </c>
      <c r="I28" s="408">
        <f>SUM(H28*G28)</f>
        <v>73423.948000000004</v>
      </c>
    </row>
    <row r="29" spans="1:9">
      <c r="E29" s="112"/>
      <c r="G29" s="409">
        <f>SUM(G26:G28)</f>
        <v>137.40022500000001</v>
      </c>
      <c r="H29" s="410">
        <f>SUM(H26:H28)</f>
        <v>5980</v>
      </c>
      <c r="I29" s="411">
        <f>SUM(I26:I28)</f>
        <v>275902.65300000005</v>
      </c>
    </row>
    <row r="30" spans="1:9">
      <c r="A30" s="246" t="s">
        <v>62</v>
      </c>
      <c r="B30" s="274" t="s">
        <v>65</v>
      </c>
      <c r="C30" s="274" t="s">
        <v>80</v>
      </c>
      <c r="D30" s="274" t="s">
        <v>81</v>
      </c>
      <c r="E30" s="274" t="s">
        <v>64</v>
      </c>
    </row>
    <row r="31" spans="1:9">
      <c r="A31" s="6" t="s">
        <v>56</v>
      </c>
      <c r="B31" s="29">
        <f>I7</f>
        <v>133900</v>
      </c>
      <c r="C31" s="275">
        <v>0.27100000000000002</v>
      </c>
      <c r="D31" s="275">
        <v>0.24049999999999999</v>
      </c>
      <c r="E31" s="276">
        <f>SUM(B31*D31)</f>
        <v>32202.949999999997</v>
      </c>
      <c r="G31" s="112"/>
      <c r="H31" s="6"/>
    </row>
    <row r="32" spans="1:9">
      <c r="A32" s="6" t="s">
        <v>51</v>
      </c>
      <c r="B32" s="29">
        <f>I8</f>
        <v>69566.406000000003</v>
      </c>
      <c r="C32" s="275">
        <v>0.27100000000000002</v>
      </c>
      <c r="D32" s="275">
        <v>0.24049999999999999</v>
      </c>
      <c r="E32" s="276">
        <f>SUM(B32*D32)</f>
        <v>16730.720643000001</v>
      </c>
      <c r="H32" s="6"/>
      <c r="I32" s="9"/>
    </row>
    <row r="33" spans="1:7">
      <c r="A33" s="253" t="s">
        <v>167</v>
      </c>
      <c r="B33" s="277">
        <f>I9</f>
        <v>73782.113599999997</v>
      </c>
      <c r="C33" s="278">
        <v>0.2303</v>
      </c>
      <c r="D33" s="278">
        <v>0.20219999999999999</v>
      </c>
      <c r="E33" s="279">
        <f>SUM(B33*D33)</f>
        <v>14918.743369919999</v>
      </c>
    </row>
    <row r="34" spans="1:7">
      <c r="E34" s="280">
        <f>SUM(E31:E33)</f>
        <v>63852.414012919995</v>
      </c>
    </row>
    <row r="35" spans="1:7">
      <c r="E35" s="280"/>
    </row>
    <row r="36" spans="1:7">
      <c r="A36" s="8"/>
    </row>
    <row r="37" spans="1:7">
      <c r="A37" s="281" t="s">
        <v>206</v>
      </c>
      <c r="B37" s="281"/>
      <c r="C37" s="281"/>
      <c r="D37" s="281"/>
      <c r="E37" s="281"/>
      <c r="F37" s="281"/>
      <c r="G37" s="281"/>
    </row>
    <row r="38" spans="1:7">
      <c r="A38" s="246" t="s">
        <v>62</v>
      </c>
      <c r="B38" s="274" t="s">
        <v>67</v>
      </c>
      <c r="C38" s="274" t="s">
        <v>68</v>
      </c>
      <c r="D38" s="274" t="s">
        <v>66</v>
      </c>
      <c r="E38" s="274" t="s">
        <v>69</v>
      </c>
      <c r="F38" s="274" t="s">
        <v>70</v>
      </c>
      <c r="G38" s="282" t="s">
        <v>82</v>
      </c>
    </row>
    <row r="39" spans="1:7">
      <c r="A39" s="6" t="s">
        <v>56</v>
      </c>
      <c r="B39" s="41">
        <f>SUM(463.07*26)</f>
        <v>12039.82</v>
      </c>
      <c r="C39" s="41">
        <f>SUM(71.49*26)</f>
        <v>1858.7399999999998</v>
      </c>
      <c r="D39" s="41">
        <f>SUM(9.95*26)</f>
        <v>258.7</v>
      </c>
      <c r="E39" s="41">
        <f>SUM(8.15*26)</f>
        <v>211.9</v>
      </c>
      <c r="F39" s="41">
        <v>0</v>
      </c>
      <c r="G39" s="283">
        <f>SUM(B39:F39)</f>
        <v>14369.16</v>
      </c>
    </row>
    <row r="40" spans="1:7">
      <c r="A40" s="6" t="s">
        <v>51</v>
      </c>
      <c r="B40" s="41">
        <v>0</v>
      </c>
      <c r="C40" s="41">
        <v>0</v>
      </c>
      <c r="D40" s="41">
        <v>0</v>
      </c>
      <c r="E40" s="41">
        <v>0</v>
      </c>
      <c r="F40" s="41">
        <f>SUM(110.9*26)</f>
        <v>2883.4</v>
      </c>
      <c r="G40" s="283">
        <f>SUM(B40:F40)</f>
        <v>2883.4</v>
      </c>
    </row>
    <row r="41" spans="1:7">
      <c r="A41" s="253" t="s">
        <v>167</v>
      </c>
      <c r="B41" s="277">
        <f>SUM(326.47*26)</f>
        <v>8488.2200000000012</v>
      </c>
      <c r="C41" s="284">
        <f>SUM(24.13*26)</f>
        <v>627.38</v>
      </c>
      <c r="D41" s="277">
        <f>SUM(1.38*26)</f>
        <v>35.879999999999995</v>
      </c>
      <c r="E41" s="284">
        <f>SUM(2.55*26)</f>
        <v>66.3</v>
      </c>
      <c r="F41" s="285">
        <v>0</v>
      </c>
      <c r="G41" s="286">
        <f>SUM(B41:F41)</f>
        <v>9217.7799999999988</v>
      </c>
    </row>
    <row r="42" spans="1:7">
      <c r="B42" s="29">
        <f t="shared" ref="B42:G42" si="0">SUM(B39:B41)</f>
        <v>20528.04</v>
      </c>
      <c r="C42" s="29">
        <f t="shared" si="0"/>
        <v>2486.12</v>
      </c>
      <c r="D42" s="29">
        <f t="shared" si="0"/>
        <v>294.58</v>
      </c>
      <c r="E42" s="29">
        <f t="shared" si="0"/>
        <v>278.2</v>
      </c>
      <c r="F42" s="29">
        <f t="shared" si="0"/>
        <v>2883.4</v>
      </c>
      <c r="G42" s="280">
        <f t="shared" si="0"/>
        <v>26470.34</v>
      </c>
    </row>
    <row r="44" spans="1:7">
      <c r="A44" s="6" t="s">
        <v>309</v>
      </c>
      <c r="G44" s="287">
        <f>SUM((G42)+(G42*1.5%))</f>
        <v>26867.395100000002</v>
      </c>
    </row>
    <row r="46" spans="1:7">
      <c r="A46" s="526" t="s">
        <v>318</v>
      </c>
      <c r="B46" s="526"/>
      <c r="C46" s="526"/>
      <c r="D46" s="526"/>
      <c r="E46" s="526"/>
      <c r="F46" s="526"/>
      <c r="G46" s="527"/>
    </row>
    <row r="47" spans="1:7">
      <c r="A47" s="16">
        <f>60*G7</f>
        <v>3862.5</v>
      </c>
    </row>
  </sheetData>
  <pageMargins left="0.7" right="0.7" top="0.39" bottom="0.41" header="0.3" footer="0.3"/>
  <pageSetup scale="9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80"/>
  <sheetViews>
    <sheetView zoomScaleNormal="100" workbookViewId="0">
      <selection activeCell="K34" sqref="K34"/>
    </sheetView>
  </sheetViews>
  <sheetFormatPr defaultRowHeight="11.25"/>
  <cols>
    <col min="1" max="1" width="2.28515625" style="6" customWidth="1"/>
    <col min="2" max="2" width="12" style="6" bestFit="1" customWidth="1"/>
    <col min="3" max="4" width="9.140625" style="6"/>
    <col min="5" max="5" width="11" style="6" customWidth="1"/>
    <col min="6" max="6" width="10.28515625" style="6" bestFit="1" customWidth="1"/>
    <col min="7" max="16384" width="9.140625" style="6"/>
  </cols>
  <sheetData>
    <row r="1" spans="1:9" s="349" customFormat="1" ht="18.75">
      <c r="A1" s="349" t="s">
        <v>294</v>
      </c>
    </row>
    <row r="3" spans="1:9" ht="15.75">
      <c r="B3" s="343" t="s">
        <v>24</v>
      </c>
      <c r="C3" s="288"/>
      <c r="D3" s="288"/>
      <c r="E3" s="288"/>
      <c r="F3" s="288"/>
      <c r="G3" s="289"/>
      <c r="H3" s="289"/>
      <c r="I3" s="289"/>
    </row>
    <row r="4" spans="1:9" ht="6.75" customHeight="1">
      <c r="B4" s="290"/>
    </row>
    <row r="5" spans="1:9">
      <c r="B5" s="253" t="s">
        <v>97</v>
      </c>
      <c r="C5" s="253"/>
      <c r="D5" s="253"/>
    </row>
    <row r="6" spans="1:9">
      <c r="B6" s="291">
        <f>6770+900</f>
        <v>7670</v>
      </c>
      <c r="E6" s="6" t="s">
        <v>220</v>
      </c>
    </row>
    <row r="7" spans="1:9">
      <c r="B7" s="22"/>
    </row>
    <row r="8" spans="1:9">
      <c r="B8" s="292" t="s">
        <v>119</v>
      </c>
      <c r="C8" s="253"/>
      <c r="D8" s="253"/>
    </row>
    <row r="9" spans="1:9">
      <c r="B9" s="291">
        <f>SUM(1850+500)</f>
        <v>2350</v>
      </c>
      <c r="E9" s="6" t="s">
        <v>168</v>
      </c>
    </row>
    <row r="11" spans="1:9">
      <c r="B11" s="253" t="s">
        <v>225</v>
      </c>
      <c r="C11" s="253"/>
      <c r="D11" s="253"/>
    </row>
    <row r="12" spans="1:9">
      <c r="B12" s="291">
        <v>5000</v>
      </c>
      <c r="E12" s="6" t="s">
        <v>319</v>
      </c>
    </row>
    <row r="14" spans="1:9">
      <c r="E14" s="287">
        <f>SUM(B6+B12+B9)</f>
        <v>15020</v>
      </c>
    </row>
    <row r="15" spans="1:9" ht="4.5" customHeight="1"/>
    <row r="16" spans="1:9" ht="15.75">
      <c r="B16" s="342" t="s">
        <v>2</v>
      </c>
      <c r="C16" s="270"/>
      <c r="D16" s="270"/>
      <c r="E16" s="270"/>
      <c r="F16" s="270"/>
      <c r="G16" s="270"/>
      <c r="H16" s="270"/>
      <c r="I16" s="270"/>
    </row>
    <row r="17" spans="2:9" ht="6" customHeight="1"/>
    <row r="18" spans="2:9">
      <c r="B18" s="253" t="s">
        <v>98</v>
      </c>
      <c r="C18" s="253"/>
    </row>
    <row r="19" spans="2:9">
      <c r="B19" s="291">
        <f>SUM(236.25*13)</f>
        <v>3071.25</v>
      </c>
      <c r="D19" s="6" t="s">
        <v>171</v>
      </c>
    </row>
    <row r="20" spans="2:9">
      <c r="B20" s="291"/>
      <c r="D20" s="6" t="s">
        <v>169</v>
      </c>
    </row>
    <row r="22" spans="2:9">
      <c r="B22" s="253" t="s">
        <v>99</v>
      </c>
      <c r="C22" s="253"/>
    </row>
    <row r="23" spans="2:9">
      <c r="B23" s="291">
        <f>SUM(288.75*26)</f>
        <v>7507.5</v>
      </c>
      <c r="D23" s="6" t="s">
        <v>324</v>
      </c>
    </row>
    <row r="24" spans="2:9">
      <c r="B24" s="291"/>
      <c r="D24" s="6" t="s">
        <v>170</v>
      </c>
    </row>
    <row r="26" spans="2:9">
      <c r="E26" s="287">
        <f>SUM(B19+B23)</f>
        <v>10578.75</v>
      </c>
    </row>
    <row r="27" spans="2:9" ht="2.25" customHeight="1">
      <c r="B27" s="30"/>
    </row>
    <row r="28" spans="2:9" ht="15.75">
      <c r="B28" s="341" t="s">
        <v>100</v>
      </c>
      <c r="C28" s="293"/>
      <c r="D28" s="293"/>
      <c r="E28" s="293"/>
      <c r="F28" s="293"/>
      <c r="G28" s="293"/>
      <c r="H28" s="293"/>
      <c r="I28" s="293"/>
    </row>
    <row r="29" spans="2:9" ht="7.5" customHeight="1"/>
    <row r="30" spans="2:9">
      <c r="B30" s="253" t="s">
        <v>101</v>
      </c>
      <c r="C30" s="253"/>
      <c r="D30" s="13"/>
    </row>
    <row r="31" spans="2:9">
      <c r="B31" s="291">
        <f>SUM(100*0.5*26)</f>
        <v>1300</v>
      </c>
      <c r="D31" s="6" t="s">
        <v>104</v>
      </c>
    </row>
    <row r="33" spans="2:9">
      <c r="B33" s="253" t="s">
        <v>102</v>
      </c>
      <c r="C33" s="253"/>
    </row>
    <row r="34" spans="2:9">
      <c r="B34" s="291">
        <f>SUM(125*0.5*52)</f>
        <v>3250</v>
      </c>
      <c r="D34" s="6" t="s">
        <v>103</v>
      </c>
    </row>
    <row r="35" spans="2:9">
      <c r="B35" s="30"/>
    </row>
    <row r="36" spans="2:9">
      <c r="B36" s="253" t="s">
        <v>105</v>
      </c>
      <c r="C36" s="253"/>
    </row>
    <row r="37" spans="2:9">
      <c r="B37" s="291">
        <f>SUM(150*2.5)</f>
        <v>375</v>
      </c>
      <c r="D37" s="6" t="s">
        <v>106</v>
      </c>
    </row>
    <row r="39" spans="2:9">
      <c r="E39" s="287">
        <f>SUM(B31+B34+B37)</f>
        <v>4925</v>
      </c>
    </row>
    <row r="40" spans="2:9" ht="3" customHeight="1"/>
    <row r="41" spans="2:9" ht="15.75">
      <c r="B41" s="340" t="s">
        <v>172</v>
      </c>
      <c r="C41" s="294"/>
      <c r="D41" s="294"/>
      <c r="E41" s="294"/>
      <c r="F41" s="294"/>
      <c r="G41" s="294"/>
      <c r="H41" s="294"/>
      <c r="I41" s="294"/>
    </row>
    <row r="42" spans="2:9" ht="9.75" customHeight="1"/>
    <row r="43" spans="2:9">
      <c r="B43" s="292" t="s">
        <v>107</v>
      </c>
      <c r="C43" s="253"/>
    </row>
    <row r="44" spans="2:9">
      <c r="B44" s="291">
        <f>SUM(450*3)</f>
        <v>1350</v>
      </c>
      <c r="D44" s="6" t="s">
        <v>223</v>
      </c>
    </row>
    <row r="46" spans="2:9">
      <c r="B46" s="253" t="s">
        <v>108</v>
      </c>
      <c r="C46" s="253"/>
    </row>
    <row r="47" spans="2:9">
      <c r="B47" s="291">
        <f>SUM(350*2)</f>
        <v>700</v>
      </c>
      <c r="D47" s="6" t="s">
        <v>222</v>
      </c>
    </row>
    <row r="48" spans="2:9">
      <c r="B48" s="291"/>
    </row>
    <row r="49" spans="2:9">
      <c r="B49" s="295" t="s">
        <v>173</v>
      </c>
      <c r="C49" s="253"/>
    </row>
    <row r="50" spans="2:9">
      <c r="B50" s="16">
        <f>SUM(1*400)</f>
        <v>400</v>
      </c>
      <c r="D50" s="6" t="s">
        <v>224</v>
      </c>
    </row>
    <row r="51" spans="2:9">
      <c r="B51" s="16"/>
    </row>
    <row r="52" spans="2:9">
      <c r="E52" s="287">
        <f>SUM(B44+B47+B50)</f>
        <v>2450</v>
      </c>
    </row>
    <row r="53" spans="2:9" ht="3.75" customHeight="1"/>
    <row r="54" spans="2:9" ht="15.75">
      <c r="B54" s="339" t="s">
        <v>109</v>
      </c>
      <c r="C54" s="296"/>
      <c r="D54" s="296"/>
      <c r="E54" s="296"/>
      <c r="F54" s="296"/>
      <c r="G54" s="296"/>
      <c r="H54" s="296"/>
      <c r="I54" s="296"/>
    </row>
    <row r="55" spans="2:9" ht="6.75" customHeight="1"/>
    <row r="56" spans="2:9">
      <c r="B56" s="253" t="s">
        <v>110</v>
      </c>
      <c r="C56" s="253"/>
      <c r="D56" s="253"/>
    </row>
    <row r="57" spans="2:9">
      <c r="B57" s="291">
        <f>SUM(400+250)</f>
        <v>650</v>
      </c>
      <c r="D57" s="6" t="s">
        <v>174</v>
      </c>
    </row>
    <row r="59" spans="2:9">
      <c r="B59" s="253" t="s">
        <v>111</v>
      </c>
      <c r="C59" s="253"/>
      <c r="D59" s="13"/>
    </row>
    <row r="60" spans="2:9">
      <c r="B60" s="291">
        <f>SUM((3*200)+(3*600))</f>
        <v>2400</v>
      </c>
      <c r="D60" s="6" t="s">
        <v>175</v>
      </c>
    </row>
    <row r="62" spans="2:9">
      <c r="B62" s="253" t="s">
        <v>112</v>
      </c>
      <c r="C62" s="253"/>
    </row>
    <row r="63" spans="2:9">
      <c r="B63" s="291">
        <f>SUM((2*230)+(2*160))</f>
        <v>780</v>
      </c>
      <c r="D63" s="6" t="s">
        <v>297</v>
      </c>
    </row>
    <row r="65" spans="2:9">
      <c r="B65" s="253" t="s">
        <v>113</v>
      </c>
      <c r="C65" s="253"/>
    </row>
    <row r="66" spans="2:9">
      <c r="B66" s="291">
        <f>SUM(500*0.575)</f>
        <v>287.5</v>
      </c>
      <c r="D66" s="6" t="s">
        <v>176</v>
      </c>
    </row>
    <row r="68" spans="2:9">
      <c r="E68" s="287">
        <f>SUM(B57+B60+B63+B66)</f>
        <v>4117.5</v>
      </c>
    </row>
    <row r="69" spans="2:9" ht="3" customHeight="1"/>
    <row r="70" spans="2:9" ht="15.75">
      <c r="B70" s="338" t="s">
        <v>177</v>
      </c>
      <c r="C70" s="297"/>
      <c r="D70" s="297"/>
      <c r="E70" s="297"/>
      <c r="F70" s="297"/>
      <c r="G70" s="297"/>
      <c r="H70" s="297"/>
      <c r="I70" s="297"/>
    </row>
    <row r="71" spans="2:9" ht="4.5" customHeight="1"/>
    <row r="72" spans="2:9">
      <c r="B72" s="253" t="s">
        <v>115</v>
      </c>
      <c r="C72" s="253"/>
      <c r="D72" s="253"/>
    </row>
    <row r="73" spans="2:9">
      <c r="B73" s="291">
        <f>SUM((8*7*125)+(8*2*125))</f>
        <v>9000</v>
      </c>
      <c r="E73" s="6" t="s">
        <v>155</v>
      </c>
    </row>
    <row r="75" spans="2:9">
      <c r="B75" s="253" t="s">
        <v>116</v>
      </c>
      <c r="C75" s="253"/>
      <c r="D75" s="253"/>
    </row>
    <row r="76" spans="2:9">
      <c r="B76" s="291">
        <f>SUM(5*3*125)</f>
        <v>1875</v>
      </c>
      <c r="E76" s="6" t="s">
        <v>156</v>
      </c>
    </row>
    <row r="77" spans="2:9">
      <c r="B77" s="291"/>
    </row>
    <row r="78" spans="2:9">
      <c r="B78" s="291"/>
      <c r="E78" s="6" t="s">
        <v>310</v>
      </c>
    </row>
    <row r="80" spans="2:9">
      <c r="E80" s="287">
        <f>SUM(B73+B76)</f>
        <v>10875</v>
      </c>
    </row>
  </sheetData>
  <pageMargins left="0.7" right="0.7" top="0.31" bottom="0.33" header="0.3" footer="0.3"/>
  <pageSetup scale="85" orientation="portrait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72"/>
  <sheetViews>
    <sheetView topLeftCell="A19" zoomScaleNormal="100" workbookViewId="0">
      <selection activeCell="D59" sqref="D59"/>
    </sheetView>
  </sheetViews>
  <sheetFormatPr defaultRowHeight="11.25"/>
  <cols>
    <col min="1" max="1" width="2.5703125" style="6" customWidth="1"/>
    <col min="2" max="2" width="13.7109375" style="6" customWidth="1"/>
    <col min="3" max="3" width="2" style="13" customWidth="1"/>
    <col min="4" max="4" width="11.42578125" style="6" customWidth="1"/>
    <col min="5" max="5" width="2" style="13" customWidth="1"/>
    <col min="6" max="6" width="11.85546875" style="6" customWidth="1"/>
    <col min="7" max="7" width="1.5703125" style="13" customWidth="1"/>
    <col min="8" max="8" width="12.28515625" style="6" customWidth="1"/>
    <col min="9" max="9" width="2.140625" style="6" customWidth="1"/>
    <col min="10" max="10" width="11.28515625" style="6" customWidth="1"/>
    <col min="11" max="16384" width="9.140625" style="6"/>
  </cols>
  <sheetData>
    <row r="1" spans="1:11" s="5" customFormat="1" ht="15.75">
      <c r="A1" s="5" t="s">
        <v>295</v>
      </c>
      <c r="C1" s="356"/>
      <c r="E1" s="356"/>
      <c r="G1" s="356"/>
    </row>
    <row r="2" spans="1:11" ht="6" customHeight="1"/>
    <row r="3" spans="1:11" ht="15.75">
      <c r="B3" s="330" t="s">
        <v>48</v>
      </c>
      <c r="C3" s="298"/>
      <c r="D3" s="299"/>
      <c r="E3" s="300"/>
      <c r="F3" s="299"/>
      <c r="G3" s="300"/>
      <c r="H3" s="301"/>
      <c r="I3" s="299"/>
      <c r="J3" s="299"/>
      <c r="K3" s="299"/>
    </row>
    <row r="4" spans="1:11" ht="6.75" customHeight="1">
      <c r="B4" s="290"/>
      <c r="C4" s="302"/>
    </row>
    <row r="5" spans="1:11">
      <c r="B5" s="264" t="s">
        <v>49</v>
      </c>
      <c r="C5" s="11"/>
      <c r="D5" s="264" t="s">
        <v>47</v>
      </c>
      <c r="E5" s="11"/>
      <c r="F5" s="264" t="s">
        <v>50</v>
      </c>
      <c r="G5" s="11"/>
      <c r="H5" s="264" t="s">
        <v>84</v>
      </c>
      <c r="J5" s="264" t="s">
        <v>83</v>
      </c>
    </row>
    <row r="6" spans="1:11">
      <c r="B6" s="303">
        <v>10000</v>
      </c>
      <c r="C6" s="304"/>
      <c r="D6" s="303">
        <v>2548</v>
      </c>
      <c r="E6" s="304"/>
      <c r="F6" s="303">
        <f>SUM((1156)+(1156*3%))</f>
        <v>1190.68</v>
      </c>
      <c r="G6" s="304"/>
      <c r="H6" s="303">
        <v>480</v>
      </c>
      <c r="J6" s="303">
        <v>150</v>
      </c>
    </row>
    <row r="7" spans="1:11" ht="6.75" customHeight="1">
      <c r="B7" s="7"/>
      <c r="C7" s="11"/>
      <c r="D7" s="7"/>
      <c r="E7" s="11"/>
      <c r="F7" s="7"/>
    </row>
    <row r="8" spans="1:11">
      <c r="B8" s="7" t="s">
        <v>178</v>
      </c>
      <c r="C8" s="11"/>
      <c r="D8" s="7" t="s">
        <v>180</v>
      </c>
      <c r="E8" s="11"/>
      <c r="F8" s="7" t="s">
        <v>179</v>
      </c>
      <c r="G8" s="11"/>
      <c r="H8" s="7" t="s">
        <v>178</v>
      </c>
      <c r="I8" s="7"/>
      <c r="J8" s="7" t="s">
        <v>181</v>
      </c>
    </row>
    <row r="9" spans="1:11" ht="5.25" customHeight="1">
      <c r="B9" s="303"/>
      <c r="C9" s="305"/>
      <c r="J9" s="287"/>
    </row>
    <row r="10" spans="1:11">
      <c r="B10" s="303"/>
      <c r="C10" s="305"/>
      <c r="J10" s="287">
        <f>SUM(B6+D6+F6+H6+J6)</f>
        <v>14368.68</v>
      </c>
    </row>
    <row r="11" spans="1:11" ht="3.75" customHeight="1">
      <c r="B11" s="290"/>
      <c r="C11" s="302"/>
    </row>
    <row r="12" spans="1:11" ht="15.75">
      <c r="B12" s="331" t="s">
        <v>182</v>
      </c>
      <c r="C12" s="306"/>
      <c r="D12" s="307"/>
      <c r="E12" s="308"/>
      <c r="F12" s="307"/>
      <c r="G12" s="308"/>
      <c r="H12" s="309"/>
      <c r="I12" s="307"/>
      <c r="J12" s="307"/>
      <c r="K12" s="307"/>
    </row>
    <row r="13" spans="1:11" ht="8.25" customHeight="1"/>
    <row r="14" spans="1:11">
      <c r="B14" s="6" t="s">
        <v>183</v>
      </c>
    </row>
    <row r="16" spans="1:11">
      <c r="B16" s="253" t="s">
        <v>85</v>
      </c>
      <c r="D16" s="253" t="s">
        <v>86</v>
      </c>
    </row>
    <row r="17" spans="2:11" ht="12" customHeight="1">
      <c r="B17" s="291">
        <v>2493.83</v>
      </c>
      <c r="C17" s="305"/>
      <c r="D17" s="291">
        <f>SUM(B17*10)</f>
        <v>24938.3</v>
      </c>
      <c r="E17" s="305"/>
    </row>
    <row r="18" spans="2:11" ht="18" customHeight="1">
      <c r="B18" s="6" t="s">
        <v>213</v>
      </c>
      <c r="J18" s="287">
        <f>SUM(D17)</f>
        <v>24938.3</v>
      </c>
    </row>
    <row r="19" spans="2:11" ht="5.25" customHeight="1"/>
    <row r="20" spans="2:11" ht="15.75">
      <c r="B20" s="332" t="s">
        <v>87</v>
      </c>
      <c r="C20" s="311"/>
      <c r="D20" s="312"/>
      <c r="E20" s="313"/>
      <c r="F20" s="312"/>
      <c r="G20" s="313"/>
      <c r="H20" s="312"/>
      <c r="I20" s="312"/>
      <c r="J20" s="312"/>
      <c r="K20" s="312"/>
    </row>
    <row r="21" spans="2:11" ht="7.5" customHeight="1">
      <c r="B21" s="290"/>
      <c r="C21" s="302"/>
    </row>
    <row r="22" spans="2:11">
      <c r="B22" s="314" t="s">
        <v>46</v>
      </c>
      <c r="C22" s="315"/>
    </row>
    <row r="23" spans="2:11" ht="6.75" customHeight="1">
      <c r="B23" s="290"/>
      <c r="C23" s="302"/>
    </row>
    <row r="24" spans="2:11">
      <c r="B24" s="253" t="s">
        <v>45</v>
      </c>
    </row>
    <row r="25" spans="2:11">
      <c r="B25" s="291">
        <f>SUM((2677.02))</f>
        <v>2677.02</v>
      </c>
      <c r="C25" s="305"/>
    </row>
    <row r="26" spans="2:11">
      <c r="J26" s="287">
        <f>SUM(B25)</f>
        <v>2677.02</v>
      </c>
    </row>
    <row r="27" spans="2:11">
      <c r="B27" s="6" t="s">
        <v>217</v>
      </c>
    </row>
    <row r="28" spans="2:11" ht="7.5" customHeight="1"/>
    <row r="29" spans="2:11" ht="15.75">
      <c r="B29" s="333" t="s">
        <v>74</v>
      </c>
      <c r="C29" s="317"/>
      <c r="D29" s="318"/>
      <c r="E29" s="319"/>
      <c r="F29" s="318"/>
      <c r="G29" s="319"/>
      <c r="H29" s="318"/>
      <c r="I29" s="316"/>
      <c r="J29" s="318"/>
      <c r="K29" s="318"/>
    </row>
    <row r="30" spans="2:11" ht="4.5" customHeight="1"/>
    <row r="31" spans="2:11">
      <c r="B31" s="264" t="s">
        <v>184</v>
      </c>
      <c r="C31" s="4"/>
      <c r="D31" s="4"/>
      <c r="E31" s="4"/>
      <c r="F31" s="264" t="s">
        <v>75</v>
      </c>
      <c r="G31" s="4"/>
      <c r="H31" s="4"/>
      <c r="I31" s="292" t="s">
        <v>88</v>
      </c>
      <c r="J31" s="264"/>
    </row>
    <row r="32" spans="2:11">
      <c r="B32" s="303">
        <f>SUM(110*12)</f>
        <v>1320</v>
      </c>
      <c r="C32" s="305"/>
      <c r="D32" s="4"/>
      <c r="E32" s="4"/>
      <c r="F32" s="303">
        <f>SUM(50*12)</f>
        <v>600</v>
      </c>
      <c r="G32" s="305"/>
      <c r="H32" s="4"/>
      <c r="J32" s="303">
        <v>189.6</v>
      </c>
    </row>
    <row r="33" spans="2:12" ht="3" customHeight="1">
      <c r="B33" s="22"/>
      <c r="C33" s="4"/>
      <c r="D33" s="4"/>
      <c r="E33" s="4"/>
      <c r="F33" s="7"/>
      <c r="G33" s="4"/>
      <c r="H33" s="4"/>
      <c r="I33" s="22"/>
      <c r="J33" s="7"/>
    </row>
    <row r="34" spans="2:12">
      <c r="B34" s="264" t="s">
        <v>185</v>
      </c>
      <c r="C34" s="4"/>
      <c r="D34" s="4"/>
      <c r="E34" s="4"/>
      <c r="F34" s="264" t="s">
        <v>76</v>
      </c>
      <c r="G34" s="4"/>
      <c r="H34" s="4"/>
      <c r="I34" s="292" t="s">
        <v>83</v>
      </c>
      <c r="J34" s="264"/>
    </row>
    <row r="35" spans="2:12">
      <c r="B35" s="291">
        <f>SUM(74*12)</f>
        <v>888</v>
      </c>
      <c r="C35" s="305"/>
      <c r="D35" s="4"/>
      <c r="E35" s="4"/>
      <c r="F35" s="303">
        <v>300</v>
      </c>
      <c r="G35" s="305"/>
      <c r="H35" s="4"/>
      <c r="J35" s="303">
        <f>SUM(7*450)</f>
        <v>3150</v>
      </c>
    </row>
    <row r="36" spans="2:12" ht="4.5" customHeight="1">
      <c r="H36" s="13"/>
      <c r="J36" s="7"/>
    </row>
    <row r="37" spans="2:12">
      <c r="B37" s="264" t="s">
        <v>186</v>
      </c>
      <c r="J37" s="271">
        <f>SUM(B32+F32+J32+B35+F35+J35+B38)</f>
        <v>6567.6</v>
      </c>
    </row>
    <row r="38" spans="2:12">
      <c r="B38" s="16">
        <f>SUM(10*12)</f>
        <v>120</v>
      </c>
      <c r="C38" s="320"/>
      <c r="J38" s="287"/>
    </row>
    <row r="39" spans="2:12" ht="3.75" customHeight="1"/>
    <row r="40" spans="2:12" ht="15.75">
      <c r="B40" s="334" t="s">
        <v>15</v>
      </c>
      <c r="C40" s="322"/>
      <c r="D40" s="321"/>
      <c r="E40" s="322"/>
      <c r="F40" s="321"/>
      <c r="G40" s="322"/>
      <c r="H40" s="321"/>
      <c r="I40" s="321"/>
      <c r="J40" s="321"/>
      <c r="K40" s="321"/>
      <c r="L40" s="112"/>
    </row>
    <row r="41" spans="2:12" ht="5.25" customHeight="1">
      <c r="L41" s="112"/>
    </row>
    <row r="42" spans="2:12">
      <c r="B42" s="264" t="s">
        <v>52</v>
      </c>
      <c r="C42" s="11"/>
      <c r="D42" s="264" t="s">
        <v>187</v>
      </c>
      <c r="E42" s="11"/>
      <c r="F42" s="264" t="s">
        <v>188</v>
      </c>
      <c r="G42" s="11"/>
      <c r="H42" s="264" t="s">
        <v>189</v>
      </c>
      <c r="L42" s="112"/>
    </row>
    <row r="43" spans="2:12">
      <c r="B43" s="303">
        <v>1250</v>
      </c>
      <c r="C43" s="304"/>
      <c r="D43" s="303">
        <f>SUM(0.49*1000)</f>
        <v>490</v>
      </c>
      <c r="E43" s="304"/>
      <c r="F43" s="303">
        <v>0</v>
      </c>
      <c r="G43" s="304"/>
      <c r="H43" s="303">
        <v>850</v>
      </c>
      <c r="L43" s="112"/>
    </row>
    <row r="44" spans="2:12" ht="3" customHeight="1">
      <c r="B44" s="7"/>
      <c r="C44" s="11"/>
      <c r="D44" s="7"/>
      <c r="E44" s="11"/>
      <c r="F44" s="7"/>
      <c r="G44" s="11"/>
      <c r="H44" s="7"/>
      <c r="I44" s="7"/>
      <c r="J44" s="7"/>
      <c r="L44" s="112"/>
    </row>
    <row r="45" spans="2:12">
      <c r="C45" s="304"/>
      <c r="D45" s="7"/>
      <c r="E45" s="11"/>
      <c r="F45" s="7"/>
      <c r="G45" s="11"/>
      <c r="H45" s="7"/>
      <c r="I45" s="7"/>
      <c r="J45" s="271">
        <f>SUM(B43+D43+F43+H43)</f>
        <v>2590</v>
      </c>
      <c r="L45" s="112"/>
    </row>
    <row r="46" spans="2:12" ht="3.75" customHeight="1"/>
    <row r="47" spans="2:12" ht="15.75">
      <c r="B47" s="335" t="s">
        <v>89</v>
      </c>
      <c r="C47" s="324"/>
      <c r="D47" s="323"/>
      <c r="E47" s="324"/>
      <c r="F47" s="323"/>
      <c r="G47" s="324"/>
      <c r="H47" s="323"/>
      <c r="I47" s="323"/>
      <c r="J47" s="323"/>
      <c r="K47" s="323"/>
    </row>
    <row r="48" spans="2:12" ht="7.5" customHeight="1"/>
    <row r="49" spans="2:11">
      <c r="B49" s="264" t="s">
        <v>190</v>
      </c>
      <c r="D49" s="264" t="s">
        <v>90</v>
      </c>
      <c r="F49" s="264" t="s">
        <v>91</v>
      </c>
      <c r="H49" s="264" t="s">
        <v>129</v>
      </c>
      <c r="I49" s="13"/>
      <c r="J49" s="325" t="s">
        <v>212</v>
      </c>
    </row>
    <row r="50" spans="2:11">
      <c r="B50" s="303">
        <f>SUM(300*4)</f>
        <v>1200</v>
      </c>
      <c r="C50" s="305"/>
      <c r="D50" s="303">
        <f>SUM(650*3)</f>
        <v>1950</v>
      </c>
      <c r="E50" s="320"/>
      <c r="F50" s="303">
        <v>20000</v>
      </c>
      <c r="G50" s="320"/>
      <c r="H50" s="303">
        <f>SUM(21.79*4)</f>
        <v>87.16</v>
      </c>
      <c r="I50" s="291"/>
      <c r="J50" s="303">
        <v>1000</v>
      </c>
    </row>
    <row r="51" spans="2:11" ht="6" customHeight="1">
      <c r="B51" s="7"/>
      <c r="I51" s="22"/>
    </row>
    <row r="52" spans="2:11">
      <c r="B52" s="264" t="s">
        <v>218</v>
      </c>
      <c r="D52" s="7"/>
      <c r="F52" s="7" t="s">
        <v>195</v>
      </c>
    </row>
    <row r="53" spans="2:11">
      <c r="B53" s="16">
        <v>900</v>
      </c>
      <c r="C53" s="305"/>
      <c r="J53" s="287">
        <f>SUM(B50+H50+J50+D50+B53)</f>
        <v>5137.16</v>
      </c>
    </row>
    <row r="54" spans="2:11" ht="6.75" customHeight="1"/>
    <row r="55" spans="2:11" ht="15.75">
      <c r="B55" s="332" t="s">
        <v>192</v>
      </c>
      <c r="C55" s="311"/>
      <c r="D55" s="310"/>
      <c r="E55" s="311"/>
      <c r="F55" s="310"/>
      <c r="G55" s="311"/>
      <c r="H55" s="310"/>
      <c r="I55" s="310"/>
      <c r="J55" s="310"/>
      <c r="K55" s="310"/>
    </row>
    <row r="56" spans="2:11" ht="6" customHeight="1"/>
    <row r="57" spans="2:11">
      <c r="B57" s="264" t="s">
        <v>92</v>
      </c>
      <c r="C57" s="11"/>
      <c r="D57" s="264" t="s">
        <v>193</v>
      </c>
      <c r="E57" s="11"/>
      <c r="F57" s="264" t="s">
        <v>219</v>
      </c>
      <c r="G57" s="11"/>
      <c r="H57" s="11"/>
      <c r="I57" s="11"/>
      <c r="J57" s="13"/>
    </row>
    <row r="58" spans="2:11">
      <c r="B58" s="303">
        <f>SUM(4*75)</f>
        <v>300</v>
      </c>
      <c r="C58" s="304"/>
      <c r="D58" s="303">
        <v>1500</v>
      </c>
      <c r="E58" s="304"/>
      <c r="F58" s="304">
        <v>0</v>
      </c>
      <c r="G58" s="304"/>
      <c r="H58" s="304"/>
      <c r="I58" s="304"/>
      <c r="J58" s="287">
        <f>SUM(B58+D58+F58)</f>
        <v>1800</v>
      </c>
    </row>
    <row r="59" spans="2:11" ht="5.25" customHeight="1"/>
    <row r="60" spans="2:11" ht="2.25" customHeight="1"/>
    <row r="61" spans="2:11" ht="15.75">
      <c r="B61" s="336" t="s">
        <v>93</v>
      </c>
      <c r="C61" s="327"/>
      <c r="D61" s="326"/>
      <c r="E61" s="327"/>
      <c r="F61" s="326"/>
      <c r="G61" s="327"/>
      <c r="H61" s="326"/>
      <c r="I61" s="326"/>
      <c r="J61" s="326"/>
      <c r="K61" s="326"/>
    </row>
    <row r="62" spans="2:11" ht="5.25" customHeight="1"/>
    <row r="63" spans="2:11">
      <c r="B63" s="264" t="s">
        <v>94</v>
      </c>
      <c r="C63" s="11"/>
      <c r="D63" s="264" t="s">
        <v>95</v>
      </c>
      <c r="E63" s="11"/>
      <c r="F63" s="264" t="s">
        <v>214</v>
      </c>
    </row>
    <row r="64" spans="2:11">
      <c r="B64" s="303">
        <v>1000</v>
      </c>
      <c r="C64" s="304"/>
      <c r="D64" s="303">
        <v>0</v>
      </c>
      <c r="E64" s="304"/>
      <c r="F64" s="303">
        <v>4000</v>
      </c>
      <c r="G64" s="305"/>
      <c r="J64" s="287">
        <f>SUM(B64:G64)</f>
        <v>5000</v>
      </c>
    </row>
    <row r="65" spans="2:11" ht="4.5" customHeight="1"/>
    <row r="66" spans="2:11" ht="5.25" customHeight="1"/>
    <row r="67" spans="2:11" ht="14.25" customHeight="1">
      <c r="B67" s="337" t="s">
        <v>96</v>
      </c>
      <c r="C67" s="329"/>
      <c r="D67" s="328"/>
      <c r="E67" s="329"/>
      <c r="F67" s="328"/>
      <c r="G67" s="329"/>
      <c r="H67" s="328"/>
      <c r="I67" s="328"/>
      <c r="J67" s="328"/>
      <c r="K67" s="328"/>
    </row>
    <row r="68" spans="2:11" ht="6" customHeight="1"/>
    <row r="69" spans="2:11">
      <c r="B69" s="264" t="s">
        <v>194</v>
      </c>
    </row>
    <row r="70" spans="2:11">
      <c r="B70" s="303">
        <v>15500</v>
      </c>
      <c r="C70" s="305"/>
      <c r="J70" s="287">
        <f>SUM(B70)</f>
        <v>15500</v>
      </c>
    </row>
    <row r="72" spans="2:11">
      <c r="B72" s="6" t="s">
        <v>296</v>
      </c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4:Z72"/>
  <sheetViews>
    <sheetView topLeftCell="A28" zoomScale="120" zoomScaleNormal="120" workbookViewId="0">
      <selection activeCell="A38" sqref="A38:XFD38"/>
    </sheetView>
  </sheetViews>
  <sheetFormatPr defaultRowHeight="12.75"/>
  <cols>
    <col min="1" max="1" width="12.5703125" style="418" customWidth="1"/>
    <col min="2" max="2" width="2.140625" style="418" customWidth="1"/>
    <col min="3" max="3" width="10.85546875" style="418" customWidth="1"/>
    <col min="4" max="4" width="0.85546875" style="418" customWidth="1"/>
    <col min="5" max="5" width="8.7109375" style="418" bestFit="1" customWidth="1"/>
    <col min="6" max="6" width="1.28515625" style="418" customWidth="1"/>
    <col min="7" max="7" width="9.85546875" style="418" bestFit="1" customWidth="1"/>
    <col min="8" max="8" width="1.7109375" style="418" customWidth="1"/>
    <col min="9" max="9" width="11.42578125" style="418" customWidth="1"/>
    <col min="10" max="10" width="1.28515625" style="418" customWidth="1"/>
    <col min="11" max="11" width="8.7109375" style="418" customWidth="1"/>
    <col min="12" max="12" width="1.28515625" style="418" customWidth="1"/>
    <col min="13" max="13" width="8.7109375" style="418" customWidth="1"/>
    <col min="14" max="14" width="1.5703125" style="418" customWidth="1"/>
    <col min="15" max="15" width="9.85546875" style="418" customWidth="1"/>
    <col min="16" max="16" width="1.28515625" style="418" customWidth="1"/>
    <col min="17" max="17" width="9.140625" style="418" customWidth="1"/>
    <col min="18" max="18" width="1.28515625" style="418" customWidth="1"/>
    <col min="19" max="19" width="12" style="418" customWidth="1"/>
    <col min="20" max="20" width="3.42578125" style="418" customWidth="1"/>
    <col min="21" max="22" width="9" style="418" customWidth="1"/>
    <col min="23" max="23" width="6.5703125" style="418" customWidth="1"/>
    <col min="24" max="16384" width="9.140625" style="418"/>
  </cols>
  <sheetData>
    <row r="4" spans="1:26" ht="6" customHeight="1" thickBot="1">
      <c r="C4" s="419"/>
      <c r="D4" s="419"/>
      <c r="E4" s="419"/>
      <c r="F4" s="419"/>
      <c r="G4" s="419"/>
    </row>
    <row r="5" spans="1:26" ht="3.75" customHeight="1">
      <c r="A5" s="6"/>
      <c r="B5" s="6"/>
      <c r="C5" s="420"/>
      <c r="D5" s="421"/>
      <c r="E5" s="421"/>
      <c r="F5" s="421"/>
      <c r="G5" s="422"/>
      <c r="H5" s="6"/>
      <c r="I5" s="420"/>
      <c r="J5" s="421"/>
      <c r="K5" s="421"/>
      <c r="L5" s="421"/>
      <c r="M5" s="422"/>
      <c r="N5" s="6"/>
      <c r="O5" s="420"/>
      <c r="P5" s="421"/>
      <c r="Q5" s="421"/>
      <c r="R5" s="421"/>
      <c r="S5" s="422"/>
    </row>
    <row r="6" spans="1:26">
      <c r="A6" s="6"/>
      <c r="B6" s="6"/>
      <c r="C6" s="423" t="s">
        <v>283</v>
      </c>
      <c r="D6" s="424"/>
      <c r="E6" s="424"/>
      <c r="F6" s="424"/>
      <c r="G6" s="425">
        <v>348366.36</v>
      </c>
      <c r="H6" s="426"/>
      <c r="I6" s="423" t="s">
        <v>284</v>
      </c>
      <c r="J6" s="424"/>
      <c r="K6" s="424"/>
      <c r="L6" s="424"/>
      <c r="M6" s="425">
        <v>387528.42</v>
      </c>
      <c r="N6" s="426"/>
      <c r="O6" s="423" t="s">
        <v>285</v>
      </c>
      <c r="P6" s="424"/>
      <c r="Q6" s="424"/>
      <c r="R6" s="424"/>
      <c r="S6" s="425">
        <f>SUM('2016-17 Proposed Budget'!$S$69)</f>
        <v>469162.28224712005</v>
      </c>
    </row>
    <row r="7" spans="1:26" ht="5.25" customHeight="1">
      <c r="A7" s="6"/>
      <c r="B7" s="6"/>
      <c r="C7" s="427"/>
      <c r="D7" s="428"/>
      <c r="E7" s="428"/>
      <c r="F7" s="428"/>
      <c r="G7" s="429"/>
      <c r="H7" s="426"/>
      <c r="I7" s="427"/>
      <c r="J7" s="428"/>
      <c r="K7" s="428"/>
      <c r="L7" s="428"/>
      <c r="M7" s="429"/>
      <c r="N7" s="426"/>
      <c r="O7" s="427"/>
      <c r="P7" s="428"/>
      <c r="Q7" s="428"/>
      <c r="R7" s="428"/>
      <c r="S7" s="429"/>
    </row>
    <row r="8" spans="1:26">
      <c r="A8" s="6"/>
      <c r="B8" s="6"/>
      <c r="C8" s="430" t="s">
        <v>203</v>
      </c>
      <c r="D8" s="431"/>
      <c r="E8" s="431"/>
      <c r="F8" s="431"/>
      <c r="G8" s="432"/>
      <c r="H8" s="426"/>
      <c r="I8" s="430" t="s">
        <v>237</v>
      </c>
      <c r="J8" s="431"/>
      <c r="K8" s="431"/>
      <c r="L8" s="431"/>
      <c r="M8" s="432"/>
      <c r="N8" s="426"/>
      <c r="O8" s="430" t="s">
        <v>239</v>
      </c>
      <c r="P8" s="431"/>
      <c r="Q8" s="431"/>
      <c r="R8" s="431"/>
      <c r="S8" s="432"/>
    </row>
    <row r="9" spans="1:26">
      <c r="A9" s="6"/>
      <c r="B9" s="6"/>
      <c r="C9" s="430" t="s">
        <v>287</v>
      </c>
      <c r="D9" s="431"/>
      <c r="E9" s="444" t="s">
        <v>238</v>
      </c>
      <c r="F9" s="431"/>
      <c r="G9" s="441" t="s">
        <v>280</v>
      </c>
      <c r="H9" s="426"/>
      <c r="I9" s="433" t="s">
        <v>287</v>
      </c>
      <c r="J9" s="434"/>
      <c r="K9" s="443" t="s">
        <v>238</v>
      </c>
      <c r="L9" s="434"/>
      <c r="M9" s="442" t="s">
        <v>280</v>
      </c>
      <c r="N9" s="426"/>
      <c r="O9" s="433" t="s">
        <v>287</v>
      </c>
      <c r="P9" s="434"/>
      <c r="Q9" s="443" t="s">
        <v>238</v>
      </c>
      <c r="R9" s="434"/>
      <c r="S9" s="442" t="s">
        <v>280</v>
      </c>
    </row>
    <row r="10" spans="1:26" ht="4.5" customHeight="1">
      <c r="A10" s="6"/>
      <c r="B10" s="6"/>
      <c r="C10" s="435"/>
      <c r="D10" s="13"/>
      <c r="E10" s="13"/>
      <c r="F10" s="13"/>
      <c r="G10" s="436"/>
      <c r="H10" s="6"/>
      <c r="I10" s="435"/>
      <c r="J10" s="13"/>
      <c r="K10" s="13"/>
      <c r="L10" s="13"/>
      <c r="M10" s="436"/>
      <c r="N10" s="6"/>
      <c r="O10" s="437"/>
      <c r="P10" s="438"/>
      <c r="Q10" s="438"/>
      <c r="R10" s="438"/>
      <c r="S10" s="439"/>
    </row>
    <row r="11" spans="1:26">
      <c r="A11" s="6"/>
      <c r="B11" s="6"/>
      <c r="C11" s="437"/>
      <c r="D11" s="438"/>
      <c r="E11" s="438"/>
      <c r="F11" s="438"/>
      <c r="G11" s="440"/>
      <c r="H11" s="6"/>
      <c r="I11" s="437"/>
      <c r="J11" s="438"/>
      <c r="K11" s="438"/>
      <c r="L11" s="438"/>
      <c r="M11" s="440"/>
      <c r="N11" s="6"/>
      <c r="O11" s="437"/>
      <c r="P11" s="438"/>
      <c r="Q11" s="438"/>
      <c r="R11" s="438"/>
      <c r="S11" s="439"/>
      <c r="U11" s="520"/>
      <c r="V11" s="521" t="s">
        <v>61</v>
      </c>
    </row>
    <row r="12" spans="1:26">
      <c r="A12" s="465" t="s">
        <v>240</v>
      </c>
      <c r="B12" s="465"/>
      <c r="C12" s="466" t="s">
        <v>281</v>
      </c>
      <c r="D12" s="467"/>
      <c r="E12" s="468">
        <f>SUM((G6/3))</f>
        <v>116122.12</v>
      </c>
      <c r="F12" s="467"/>
      <c r="G12" s="469">
        <f>SUM(E12/E12)</f>
        <v>1</v>
      </c>
      <c r="H12" s="470"/>
      <c r="I12" s="466" t="s">
        <v>281</v>
      </c>
      <c r="J12" s="467"/>
      <c r="K12" s="468">
        <f>SUM(M6/3)</f>
        <v>129176.14</v>
      </c>
      <c r="L12" s="467"/>
      <c r="M12" s="469">
        <f>SUM(K12/K12)</f>
        <v>1</v>
      </c>
      <c r="N12" s="470"/>
      <c r="O12" s="466" t="s">
        <v>281</v>
      </c>
      <c r="P12" s="467"/>
      <c r="Q12" s="471">
        <f>SUM(S6/3)</f>
        <v>156387.42741570668</v>
      </c>
      <c r="R12" s="467"/>
      <c r="S12" s="469">
        <f>SUM(Q12/Q12)</f>
        <v>1</v>
      </c>
      <c r="T12" s="465"/>
      <c r="U12" s="522">
        <f>SUM(Q12-K12)</f>
        <v>27211.287415706684</v>
      </c>
      <c r="V12" s="525">
        <f>SUM(U12/K12)</f>
        <v>0.21065258193739714</v>
      </c>
      <c r="W12" s="465"/>
    </row>
    <row r="13" spans="1:26">
      <c r="A13" s="465"/>
      <c r="B13" s="465"/>
      <c r="C13" s="472"/>
      <c r="D13" s="473"/>
      <c r="E13" s="474"/>
      <c r="F13" s="473"/>
      <c r="G13" s="475"/>
      <c r="H13" s="465"/>
      <c r="I13" s="472"/>
      <c r="J13" s="474"/>
      <c r="K13" s="474"/>
      <c r="L13" s="473"/>
      <c r="M13" s="475"/>
      <c r="N13" s="465"/>
      <c r="O13" s="472"/>
      <c r="P13" s="474"/>
      <c r="Q13" s="474"/>
      <c r="R13" s="473"/>
      <c r="S13" s="475"/>
      <c r="U13" s="524"/>
      <c r="V13" s="524"/>
      <c r="X13" s="465"/>
      <c r="Y13" s="476" t="s">
        <v>306</v>
      </c>
      <c r="Z13" s="476"/>
    </row>
    <row r="14" spans="1:26">
      <c r="A14" s="465" t="s">
        <v>252</v>
      </c>
      <c r="B14" s="465"/>
      <c r="C14" s="477">
        <v>870182</v>
      </c>
      <c r="D14" s="473"/>
      <c r="E14" s="478">
        <f>SUM((G6/3)*(G14))</f>
        <v>488.96364042617597</v>
      </c>
      <c r="F14" s="473"/>
      <c r="G14" s="479">
        <f>SUM(C14/C44)</f>
        <v>4.2107708714427192E-3</v>
      </c>
      <c r="H14" s="465"/>
      <c r="I14" s="477">
        <v>891087</v>
      </c>
      <c r="J14" s="474"/>
      <c r="K14" s="478">
        <f>SUM((M6/3)*(M14))</f>
        <v>518.87767071985081</v>
      </c>
      <c r="L14" s="473"/>
      <c r="M14" s="479">
        <f>SUM(I14/I44)</f>
        <v>4.0168228491720744E-3</v>
      </c>
      <c r="N14" s="465"/>
      <c r="O14" s="477">
        <v>891087</v>
      </c>
      <c r="P14" s="474"/>
      <c r="Q14" s="480">
        <f>SUM((S6/3)*(S14))</f>
        <v>628.18059176664985</v>
      </c>
      <c r="R14" s="481"/>
      <c r="S14" s="479">
        <f>SUM(O14/O44)</f>
        <v>4.0168228491720744E-3</v>
      </c>
      <c r="U14" s="522">
        <f>SUM(Q14-K14)</f>
        <v>109.30292104679904</v>
      </c>
      <c r="V14" s="525">
        <f>SUM(U14/K14)</f>
        <v>0.21065258193739694</v>
      </c>
      <c r="X14" s="465"/>
      <c r="Y14" s="465"/>
      <c r="Z14" s="465"/>
    </row>
    <row r="15" spans="1:26">
      <c r="A15" s="465" t="s">
        <v>253</v>
      </c>
      <c r="B15" s="465"/>
      <c r="C15" s="477">
        <v>794870</v>
      </c>
      <c r="D15" s="473"/>
      <c r="E15" s="478">
        <f>SUM((G6/3)*(G15))</f>
        <v>446.64510282395463</v>
      </c>
      <c r="F15" s="473"/>
      <c r="G15" s="479">
        <f>SUM(C15/C44)</f>
        <v>3.8463395503281774E-3</v>
      </c>
      <c r="H15" s="465"/>
      <c r="I15" s="477">
        <v>863243</v>
      </c>
      <c r="J15" s="474"/>
      <c r="K15" s="478">
        <f>SUM((M6/3)*(M15))</f>
        <v>502.66418105663769</v>
      </c>
      <c r="L15" s="473"/>
      <c r="M15" s="479">
        <f>SUM(I15/I44)</f>
        <v>3.8913082637136989E-3</v>
      </c>
      <c r="N15" s="465"/>
      <c r="O15" s="477">
        <v>863243</v>
      </c>
      <c r="P15" s="474"/>
      <c r="Q15" s="480">
        <f>SUM((S6/3)*(S15))</f>
        <v>608.55168864366567</v>
      </c>
      <c r="R15" s="481"/>
      <c r="S15" s="479">
        <f>SUM(O15/O44)</f>
        <v>3.8913082637136989E-3</v>
      </c>
      <c r="U15" s="522">
        <f t="shared" ref="U15:U43" si="0">SUM(Q15-K15)</f>
        <v>105.88750758702798</v>
      </c>
      <c r="V15" s="525">
        <f>SUM(U15/K15)</f>
        <v>0.21065258193739711</v>
      </c>
      <c r="X15" s="465"/>
      <c r="Y15" s="482" t="s">
        <v>300</v>
      </c>
      <c r="Z15" s="510" t="s">
        <v>45</v>
      </c>
    </row>
    <row r="16" spans="1:26">
      <c r="A16" s="465" t="s">
        <v>254</v>
      </c>
      <c r="B16" s="465"/>
      <c r="C16" s="477">
        <v>4107598</v>
      </c>
      <c r="D16" s="473"/>
      <c r="E16" s="478">
        <f>SUM((G6/3)*(G16))</f>
        <v>2308.0988476976995</v>
      </c>
      <c r="F16" s="473"/>
      <c r="G16" s="479">
        <f>SUM(C16/C44)</f>
        <v>1.9876478725136086E-2</v>
      </c>
      <c r="H16" s="465"/>
      <c r="I16" s="477">
        <v>4910626</v>
      </c>
      <c r="J16" s="474"/>
      <c r="K16" s="478">
        <f>SUM((M6/3)*(M16))</f>
        <v>2859.4449034228287</v>
      </c>
      <c r="L16" s="473"/>
      <c r="M16" s="479">
        <f>SUM(I16/I44)</f>
        <v>2.2136014463838512E-2</v>
      </c>
      <c r="N16" s="465"/>
      <c r="O16" s="477">
        <v>4910626</v>
      </c>
      <c r="P16" s="474"/>
      <c r="Q16" s="480">
        <f>SUM((S6/3)*(S16))</f>
        <v>3461.7943552365787</v>
      </c>
      <c r="R16" s="481"/>
      <c r="S16" s="479">
        <f>SUM(O16/O44)</f>
        <v>2.2136014463838512E-2</v>
      </c>
      <c r="U16" s="522">
        <f t="shared" si="0"/>
        <v>602.34945181374997</v>
      </c>
      <c r="V16" s="525">
        <f>SUM(U16/K16)</f>
        <v>0.21065258193739711</v>
      </c>
      <c r="X16" s="483">
        <v>1</v>
      </c>
      <c r="Y16" s="465" t="s">
        <v>301</v>
      </c>
      <c r="Z16" s="511">
        <f>Q12</f>
        <v>156387.42741570668</v>
      </c>
    </row>
    <row r="17" spans="1:26">
      <c r="A17" s="465" t="s">
        <v>255</v>
      </c>
      <c r="B17" s="465"/>
      <c r="C17" s="477">
        <v>563095</v>
      </c>
      <c r="D17" s="473"/>
      <c r="E17" s="478">
        <f>SUM((G6/3)*(G17))</f>
        <v>316.40849972279079</v>
      </c>
      <c r="F17" s="473"/>
      <c r="G17" s="479">
        <f>SUM(C17/C44)</f>
        <v>2.7247909332243575E-3</v>
      </c>
      <c r="H17" s="465"/>
      <c r="I17" s="477">
        <v>343648</v>
      </c>
      <c r="J17" s="474"/>
      <c r="K17" s="478">
        <f>SUM((M6/3)*(M17))</f>
        <v>200.10534749977867</v>
      </c>
      <c r="L17" s="473"/>
      <c r="M17" s="479">
        <f>SUM(I17/I44)</f>
        <v>1.5490890771297134E-3</v>
      </c>
      <c r="N17" s="465"/>
      <c r="O17" s="477">
        <v>343648</v>
      </c>
      <c r="P17" s="474"/>
      <c r="Q17" s="480">
        <f>SUM((S6/3)*(S17))</f>
        <v>242.25805561008713</v>
      </c>
      <c r="R17" s="481"/>
      <c r="S17" s="479">
        <f>SUM(O17/O44)</f>
        <v>1.5490890771297134E-3</v>
      </c>
      <c r="U17" s="522">
        <f t="shared" si="0"/>
        <v>42.152708110308453</v>
      </c>
      <c r="V17" s="525">
        <f>SUM(U17/K17)</f>
        <v>0.21065258193739714</v>
      </c>
      <c r="X17" s="483">
        <v>2</v>
      </c>
      <c r="Y17" s="465" t="s">
        <v>249</v>
      </c>
      <c r="Z17" s="511">
        <f>Q64</f>
        <v>52357.955152198054</v>
      </c>
    </row>
    <row r="18" spans="1:26">
      <c r="A18" s="465" t="s">
        <v>256</v>
      </c>
      <c r="B18" s="465"/>
      <c r="C18" s="477">
        <v>4744645</v>
      </c>
      <c r="D18" s="473"/>
      <c r="E18" s="478">
        <f>SUM((G6/3)*(G18))</f>
        <v>2666.0616879340801</v>
      </c>
      <c r="F18" s="473"/>
      <c r="G18" s="479">
        <f>SUM(C18/C44)</f>
        <v>2.2959120001719572E-2</v>
      </c>
      <c r="H18" s="465"/>
      <c r="I18" s="477">
        <v>4745107</v>
      </c>
      <c r="J18" s="474"/>
      <c r="K18" s="478">
        <f>SUM((M6/3)*(M18))</f>
        <v>2763.0636149741372</v>
      </c>
      <c r="L18" s="473"/>
      <c r="M18" s="479">
        <f>SUM(I18/I44)</f>
        <v>2.1389891468920941E-2</v>
      </c>
      <c r="N18" s="465"/>
      <c r="O18" s="477">
        <v>4745107</v>
      </c>
      <c r="P18" s="474"/>
      <c r="Q18" s="480">
        <f>SUM((S6/3)*(S18))</f>
        <v>3345.1100995257175</v>
      </c>
      <c r="R18" s="481"/>
      <c r="S18" s="479">
        <f>SUM(O18/O44)</f>
        <v>2.1389891468920941E-2</v>
      </c>
      <c r="U18" s="522">
        <f t="shared" si="0"/>
        <v>582.04648455158031</v>
      </c>
      <c r="V18" s="525">
        <f t="shared" ref="V18:V43" si="1">SUM(U18/K18)</f>
        <v>0.21065258193739719</v>
      </c>
      <c r="X18" s="483">
        <v>3</v>
      </c>
      <c r="Y18" s="465" t="s">
        <v>302</v>
      </c>
      <c r="Z18" s="511">
        <f>Q38</f>
        <v>51557.636895349067</v>
      </c>
    </row>
    <row r="19" spans="1:26">
      <c r="A19" s="465" t="s">
        <v>282</v>
      </c>
      <c r="B19" s="465"/>
      <c r="C19" s="477">
        <v>204427</v>
      </c>
      <c r="D19" s="473"/>
      <c r="E19" s="478">
        <f>SUM((G6/3)*(G19))</f>
        <v>114.86949870418128</v>
      </c>
      <c r="F19" s="473"/>
      <c r="G19" s="479">
        <f>SUM(C19/C44)</f>
        <v>9.892128967692055E-4</v>
      </c>
      <c r="H19" s="465"/>
      <c r="I19" s="477">
        <v>232600</v>
      </c>
      <c r="J19" s="474"/>
      <c r="K19" s="478">
        <f>SUM((M6/3)*(M19))</f>
        <v>135.44238240422908</v>
      </c>
      <c r="L19" s="473"/>
      <c r="M19" s="479">
        <f>SUM(I19/I44)</f>
        <v>1.0485092866548658E-3</v>
      </c>
      <c r="N19" s="465"/>
      <c r="O19" s="477">
        <v>232600</v>
      </c>
      <c r="P19" s="474"/>
      <c r="Q19" s="480">
        <f>SUM((S6/3)*(S19))</f>
        <v>163.97366996143222</v>
      </c>
      <c r="R19" s="481"/>
      <c r="S19" s="479">
        <f>SUM(O19/O44)</f>
        <v>1.0485092866548658E-3</v>
      </c>
      <c r="U19" s="522">
        <f t="shared" si="0"/>
        <v>28.531287557203143</v>
      </c>
      <c r="V19" s="525">
        <f t="shared" si="1"/>
        <v>0.21065258193739714</v>
      </c>
      <c r="X19" s="483">
        <v>4</v>
      </c>
      <c r="Y19" s="465" t="s">
        <v>246</v>
      </c>
      <c r="Z19" s="511">
        <f>Q61</f>
        <v>24946.048593906056</v>
      </c>
    </row>
    <row r="20" spans="1:26">
      <c r="A20" s="465" t="s">
        <v>257</v>
      </c>
      <c r="B20" s="465"/>
      <c r="C20" s="477">
        <v>537716</v>
      </c>
      <c r="D20" s="473"/>
      <c r="E20" s="478">
        <f>SUM((G6/3)*(G20))</f>
        <v>302.14779537545206</v>
      </c>
      <c r="F20" s="473"/>
      <c r="G20" s="479">
        <f>SUM(C20/C44)</f>
        <v>2.6019831137723982E-3</v>
      </c>
      <c r="H20" s="465"/>
      <c r="I20" s="477">
        <v>579664</v>
      </c>
      <c r="J20" s="474"/>
      <c r="K20" s="478">
        <f>SUM((M6/3)*(M20))</f>
        <v>337.53685792762275</v>
      </c>
      <c r="L20" s="473"/>
      <c r="M20" s="479">
        <f>SUM(I20/I44)</f>
        <v>2.6129969352515314E-3</v>
      </c>
      <c r="N20" s="465"/>
      <c r="O20" s="477">
        <v>579664</v>
      </c>
      <c r="P20" s="474"/>
      <c r="Q20" s="480">
        <f>SUM((S6/3)*(S20))</f>
        <v>408.63986854911286</v>
      </c>
      <c r="R20" s="481"/>
      <c r="S20" s="479">
        <f>SUM(O20/O44)</f>
        <v>2.6129969352515314E-3</v>
      </c>
      <c r="U20" s="522">
        <f t="shared" si="0"/>
        <v>71.103010621490114</v>
      </c>
      <c r="V20" s="525">
        <f t="shared" si="1"/>
        <v>0.21065258193739711</v>
      </c>
      <c r="X20" s="483">
        <v>5</v>
      </c>
      <c r="Y20" s="465" t="s">
        <v>245</v>
      </c>
      <c r="Z20" s="511">
        <f>Q60</f>
        <v>21027.418757669839</v>
      </c>
    </row>
    <row r="21" spans="1:26">
      <c r="A21" s="465" t="s">
        <v>258</v>
      </c>
      <c r="B21" s="465"/>
      <c r="C21" s="477">
        <v>3768375</v>
      </c>
      <c r="D21" s="473"/>
      <c r="E21" s="478">
        <f>SUM((G6/3)*(G21))</f>
        <v>2117.4861793176497</v>
      </c>
      <c r="F21" s="473"/>
      <c r="G21" s="479">
        <f>SUM(C21/C44)</f>
        <v>1.8234994153720666E-2</v>
      </c>
      <c r="H21" s="465"/>
      <c r="I21" s="477">
        <v>4014631</v>
      </c>
      <c r="J21" s="474"/>
      <c r="K21" s="478">
        <f>SUM((M6/3)*M21)</f>
        <v>2337.7093169126083</v>
      </c>
      <c r="L21" s="473"/>
      <c r="M21" s="479">
        <f>SUM(I21/I44)</f>
        <v>1.8097067437629025E-2</v>
      </c>
      <c r="N21" s="465"/>
      <c r="O21" s="477">
        <v>4014631</v>
      </c>
      <c r="P21" s="474"/>
      <c r="Q21" s="480">
        <f>SUM((S6/3)*(S21))</f>
        <v>2830.1538203393579</v>
      </c>
      <c r="R21" s="481"/>
      <c r="S21" s="479">
        <f>SUM(O21/O44)</f>
        <v>1.8097067437629025E-2</v>
      </c>
      <c r="U21" s="522">
        <f t="shared" si="0"/>
        <v>492.44450342674963</v>
      </c>
      <c r="V21" s="525">
        <f t="shared" si="1"/>
        <v>0.21065258193739703</v>
      </c>
      <c r="X21" s="483">
        <v>6</v>
      </c>
      <c r="Y21" s="465" t="s">
        <v>303</v>
      </c>
      <c r="Z21" s="511">
        <f>Q22</f>
        <v>15886.159693641535</v>
      </c>
    </row>
    <row r="22" spans="1:26">
      <c r="A22" s="465" t="s">
        <v>259</v>
      </c>
      <c r="B22" s="465"/>
      <c r="C22" s="477">
        <v>22630292</v>
      </c>
      <c r="D22" s="473"/>
      <c r="E22" s="478">
        <f>SUM((G6/3)*(G22))</f>
        <v>12716.178868589981</v>
      </c>
      <c r="F22" s="473"/>
      <c r="G22" s="479">
        <f>SUM(C22/C44)</f>
        <v>0.10950694724304018</v>
      </c>
      <c r="H22" s="465"/>
      <c r="I22" s="477">
        <v>22534842</v>
      </c>
      <c r="J22" s="474"/>
      <c r="K22" s="478">
        <f>SUM((M6/3)*(M22))</f>
        <v>13121.980600098377</v>
      </c>
      <c r="L22" s="473"/>
      <c r="M22" s="479">
        <f>SUM(I22/I44)</f>
        <v>0.1015820770004304</v>
      </c>
      <c r="N22" s="465"/>
      <c r="O22" s="477">
        <v>22534842</v>
      </c>
      <c r="P22" s="474"/>
      <c r="Q22" s="480">
        <f>SUM((S6/3)*(S22))</f>
        <v>15886.159693641535</v>
      </c>
      <c r="R22" s="481"/>
      <c r="S22" s="479">
        <f>SUM(O22/O44)</f>
        <v>0.1015820770004304</v>
      </c>
      <c r="U22" s="522">
        <f t="shared" si="0"/>
        <v>2764.1790935431582</v>
      </c>
      <c r="V22" s="525">
        <f t="shared" si="1"/>
        <v>0.21065258193739708</v>
      </c>
      <c r="X22" s="483">
        <v>7</v>
      </c>
      <c r="Y22" s="465" t="s">
        <v>304</v>
      </c>
      <c r="Z22" s="511">
        <f>Q35</f>
        <v>14337.520025641255</v>
      </c>
    </row>
    <row r="23" spans="1:26">
      <c r="A23" s="465" t="s">
        <v>260</v>
      </c>
      <c r="B23" s="465"/>
      <c r="C23" s="477">
        <v>1124685</v>
      </c>
      <c r="D23" s="473"/>
      <c r="E23" s="478">
        <f>SUM((G6/3)*(G23))</f>
        <v>631.97132546147088</v>
      </c>
      <c r="F23" s="473"/>
      <c r="G23" s="479">
        <f>SUM(C23/C44)</f>
        <v>5.4422992403296714E-3</v>
      </c>
      <c r="H23" s="465"/>
      <c r="I23" s="477">
        <v>1163371</v>
      </c>
      <c r="J23" s="474"/>
      <c r="K23" s="478">
        <f>SUM((M6/3)*(M23))</f>
        <v>677.42794436797249</v>
      </c>
      <c r="L23" s="473"/>
      <c r="M23" s="479">
        <f>SUM(I23/I44)</f>
        <v>5.2442188191098799E-3</v>
      </c>
      <c r="N23" s="465"/>
      <c r="O23" s="477">
        <v>1163371</v>
      </c>
      <c r="P23" s="474"/>
      <c r="Q23" s="480">
        <f>SUM((S6/3)*(S23))</f>
        <v>820.12988992562941</v>
      </c>
      <c r="R23" s="481"/>
      <c r="S23" s="479">
        <f>SUM(O23/O44)</f>
        <v>5.2442188191098799E-3</v>
      </c>
      <c r="U23" s="522">
        <f t="shared" si="0"/>
        <v>142.70194555765693</v>
      </c>
      <c r="V23" s="525">
        <f t="shared" si="1"/>
        <v>0.21065258193739728</v>
      </c>
      <c r="X23" s="483">
        <v>8</v>
      </c>
      <c r="Y23" s="465" t="s">
        <v>305</v>
      </c>
      <c r="Z23" s="511">
        <f>Q39</f>
        <v>13311.616574151902</v>
      </c>
    </row>
    <row r="24" spans="1:26">
      <c r="A24" s="465" t="s">
        <v>261</v>
      </c>
      <c r="B24" s="465"/>
      <c r="C24" s="477">
        <v>8725745</v>
      </c>
      <c r="D24" s="473"/>
      <c r="E24" s="478">
        <f>SUM((G6/3)*(G24))</f>
        <v>4903.0800920158117</v>
      </c>
      <c r="F24" s="473"/>
      <c r="G24" s="479">
        <f>SUM(C24/C44)</f>
        <v>4.2223480694425934E-2</v>
      </c>
      <c r="H24" s="465"/>
      <c r="I24" s="477">
        <v>12591931</v>
      </c>
      <c r="J24" s="474"/>
      <c r="K24" s="478">
        <f>SUM((M6/3)*(M24))</f>
        <v>7332.2490701189454</v>
      </c>
      <c r="L24" s="473"/>
      <c r="M24" s="479">
        <f>SUM(I24/I44)</f>
        <v>5.6761636244270386E-2</v>
      </c>
      <c r="N24" s="465"/>
      <c r="O24" s="477">
        <v>12591931</v>
      </c>
      <c r="P24" s="474"/>
      <c r="Q24" s="480">
        <f>SUM((S6/3)*(S24))</f>
        <v>8876.8062681475803</v>
      </c>
      <c r="R24" s="481"/>
      <c r="S24" s="479">
        <f>SUM(O24/O44)</f>
        <v>5.6761636244270386E-2</v>
      </c>
      <c r="U24" s="522">
        <f t="shared" si="0"/>
        <v>1544.557198028635</v>
      </c>
      <c r="V24" s="525">
        <f t="shared" si="1"/>
        <v>0.21065258193739711</v>
      </c>
      <c r="X24" s="483">
        <v>9</v>
      </c>
      <c r="Y24" s="465" t="s">
        <v>242</v>
      </c>
      <c r="Z24" s="511">
        <f>Q57</f>
        <v>12788.69942395426</v>
      </c>
    </row>
    <row r="25" spans="1:26">
      <c r="A25" s="465" t="s">
        <v>262</v>
      </c>
      <c r="B25" s="465"/>
      <c r="C25" s="477">
        <v>569702</v>
      </c>
      <c r="D25" s="473"/>
      <c r="E25" s="478">
        <f>SUM((G6/3)*(G25))</f>
        <v>320.1210366085179</v>
      </c>
      <c r="F25" s="473"/>
      <c r="G25" s="479">
        <f>SUM(C25/C44)</f>
        <v>2.7567619038346689E-3</v>
      </c>
      <c r="H25" s="465"/>
      <c r="I25" s="477">
        <v>597989</v>
      </c>
      <c r="J25" s="474"/>
      <c r="K25" s="478">
        <f>SUM((M6/3)*M25)</f>
        <v>348.20745834704445</v>
      </c>
      <c r="L25" s="473"/>
      <c r="M25" s="479">
        <f>SUM(I25/I44)</f>
        <v>2.6956019768592287E-3</v>
      </c>
      <c r="N25" s="465"/>
      <c r="O25" s="477">
        <v>597989</v>
      </c>
      <c r="P25" s="474"/>
      <c r="Q25" s="480">
        <f>SUM((S6/3)*(S25))</f>
        <v>421.55825849770804</v>
      </c>
      <c r="R25" s="481"/>
      <c r="S25" s="479">
        <f>SUM(O25/O44)</f>
        <v>2.6956019768592287E-3</v>
      </c>
      <c r="U25" s="522">
        <f t="shared" si="0"/>
        <v>73.350800150663588</v>
      </c>
      <c r="V25" s="525">
        <f t="shared" si="1"/>
        <v>0.21065258193739717</v>
      </c>
      <c r="X25" s="483">
        <v>10</v>
      </c>
      <c r="Y25" s="465" t="s">
        <v>307</v>
      </c>
      <c r="Z25" s="511">
        <f>Q33</f>
        <v>12307.503432802307</v>
      </c>
    </row>
    <row r="26" spans="1:26" ht="13.5" thickBot="1">
      <c r="A26" s="465" t="s">
        <v>263</v>
      </c>
      <c r="B26" s="465"/>
      <c r="C26" s="477">
        <v>5628693</v>
      </c>
      <c r="D26" s="473"/>
      <c r="E26" s="478">
        <f>SUM((G6/3)*(G26))</f>
        <v>3162.8167672065538</v>
      </c>
      <c r="F26" s="473"/>
      <c r="G26" s="479">
        <f>SUM(C26/C44)</f>
        <v>2.7236987812542125E-2</v>
      </c>
      <c r="H26" s="465"/>
      <c r="I26" s="477">
        <v>5661662</v>
      </c>
      <c r="J26" s="474"/>
      <c r="K26" s="478">
        <f>SUM((M6/3)*M26)</f>
        <v>3296.7712366616188</v>
      </c>
      <c r="L26" s="473"/>
      <c r="M26" s="479">
        <f>SUM(I26/I44)</f>
        <v>2.5521518421758219E-2</v>
      </c>
      <c r="N26" s="465"/>
      <c r="O26" s="477">
        <v>5661662</v>
      </c>
      <c r="P26" s="474"/>
      <c r="Q26" s="480">
        <f>SUM((S6/3)*(S26))</f>
        <v>3991.2446097213342</v>
      </c>
      <c r="R26" s="481"/>
      <c r="S26" s="479">
        <f>SUM(O26/O44)</f>
        <v>2.5521518421758219E-2</v>
      </c>
      <c r="U26" s="522">
        <f t="shared" si="0"/>
        <v>694.47337305971541</v>
      </c>
      <c r="V26" s="525">
        <f t="shared" si="1"/>
        <v>0.21065258193739703</v>
      </c>
      <c r="X26" s="465"/>
      <c r="Y26" s="465"/>
      <c r="Z26" s="512">
        <f>SUM(Z16:Z25)</f>
        <v>374907.98596502101</v>
      </c>
    </row>
    <row r="27" spans="1:26" ht="13.5" thickTop="1">
      <c r="A27" s="465" t="s">
        <v>264</v>
      </c>
      <c r="B27" s="465"/>
      <c r="C27" s="477">
        <v>1315376</v>
      </c>
      <c r="D27" s="473"/>
      <c r="E27" s="478">
        <f>SUM((G6/3)*(G27))</f>
        <v>739.12243357047339</v>
      </c>
      <c r="F27" s="473"/>
      <c r="G27" s="479">
        <f>SUM(C27/C44)</f>
        <v>6.3650442617691908E-3</v>
      </c>
      <c r="H27" s="465"/>
      <c r="I27" s="477">
        <v>1360911</v>
      </c>
      <c r="J27" s="474"/>
      <c r="K27" s="478">
        <f>SUM((M6/3)*(M27))</f>
        <v>792.45497884833105</v>
      </c>
      <c r="L27" s="473"/>
      <c r="M27" s="479">
        <f>SUM(I27/I44)</f>
        <v>6.1346853904159938E-3</v>
      </c>
      <c r="N27" s="465"/>
      <c r="O27" s="477">
        <v>1360911</v>
      </c>
      <c r="P27" s="474"/>
      <c r="Q27" s="480">
        <f>SUM((S6/3)*(S27))</f>
        <v>959.38766621187744</v>
      </c>
      <c r="R27" s="481"/>
      <c r="S27" s="479">
        <f>SUM(O27/O44)</f>
        <v>6.1346853904159938E-3</v>
      </c>
      <c r="T27" s="465"/>
      <c r="U27" s="522">
        <f t="shared" si="0"/>
        <v>166.93268736354639</v>
      </c>
      <c r="V27" s="525">
        <f t="shared" si="1"/>
        <v>0.21065258193739717</v>
      </c>
      <c r="W27" s="465"/>
    </row>
    <row r="28" spans="1:26">
      <c r="A28" s="465" t="s">
        <v>265</v>
      </c>
      <c r="B28" s="465"/>
      <c r="C28" s="477">
        <v>871466</v>
      </c>
      <c r="D28" s="473"/>
      <c r="E28" s="478">
        <f>SUM((G6/3)*(G28))</f>
        <v>489.68513238338397</v>
      </c>
      <c r="F28" s="473"/>
      <c r="G28" s="479">
        <f>SUM(C28/C44)</f>
        <v>4.2169840886765071E-3</v>
      </c>
      <c r="H28" s="465"/>
      <c r="I28" s="477">
        <v>935122</v>
      </c>
      <c r="J28" s="474"/>
      <c r="K28" s="478">
        <f>SUM((M6/3)*(M28))</f>
        <v>544.51913808515701</v>
      </c>
      <c r="L28" s="473"/>
      <c r="M28" s="479">
        <f>SUM(I28/I44)</f>
        <v>4.2153228768498346E-3</v>
      </c>
      <c r="N28" s="465"/>
      <c r="O28" s="477">
        <v>935122</v>
      </c>
      <c r="P28" s="474"/>
      <c r="Q28" s="480">
        <f>SUM((S6/3)*(S28))</f>
        <v>659.2235004371214</v>
      </c>
      <c r="R28" s="481"/>
      <c r="S28" s="479">
        <f>SUM(O28/O44)</f>
        <v>4.2153228768498346E-3</v>
      </c>
      <c r="T28" s="465"/>
      <c r="U28" s="522">
        <f t="shared" si="0"/>
        <v>114.70436235196439</v>
      </c>
      <c r="V28" s="525">
        <f t="shared" si="1"/>
        <v>0.21065258193739711</v>
      </c>
      <c r="W28" s="465"/>
    </row>
    <row r="29" spans="1:26">
      <c r="A29" s="465" t="s">
        <v>266</v>
      </c>
      <c r="B29" s="465"/>
      <c r="C29" s="477">
        <v>433501</v>
      </c>
      <c r="D29" s="473"/>
      <c r="E29" s="478">
        <f>SUM((G6/3)*(G29))</f>
        <v>243.58838391093784</v>
      </c>
      <c r="F29" s="473"/>
      <c r="G29" s="479">
        <f>SUM(C29/C44)</f>
        <v>2.0976914984926027E-3</v>
      </c>
      <c r="H29" s="465"/>
      <c r="I29" s="477">
        <v>442385</v>
      </c>
      <c r="J29" s="474"/>
      <c r="K29" s="478">
        <f>SUM((M6/3)*(M29))</f>
        <v>257.59964892474159</v>
      </c>
      <c r="L29" s="473"/>
      <c r="M29" s="479">
        <f>SUM(I29/I44)</f>
        <v>1.9941736060911991E-3</v>
      </c>
      <c r="N29" s="465"/>
      <c r="O29" s="477">
        <v>442385</v>
      </c>
      <c r="P29" s="474"/>
      <c r="Q29" s="480">
        <f>SUM((S6/3)*(S29))</f>
        <v>311.86368007690544</v>
      </c>
      <c r="R29" s="481"/>
      <c r="S29" s="479">
        <f>SUM(O29/O44)</f>
        <v>1.9941736060911991E-3</v>
      </c>
      <c r="T29" s="465"/>
      <c r="U29" s="522">
        <f t="shared" si="0"/>
        <v>54.264031152163852</v>
      </c>
      <c r="V29" s="525">
        <f t="shared" si="1"/>
        <v>0.21065258193739708</v>
      </c>
      <c r="W29" s="465"/>
    </row>
    <row r="30" spans="1:26">
      <c r="A30" s="465" t="s">
        <v>267</v>
      </c>
      <c r="B30" s="465"/>
      <c r="C30" s="477">
        <v>305059</v>
      </c>
      <c r="D30" s="473"/>
      <c r="E30" s="478">
        <f>SUM((G6/3)*(G30))</f>
        <v>171.4155879859257</v>
      </c>
      <c r="F30" s="473"/>
      <c r="G30" s="479">
        <f>SUM(C30/C44)</f>
        <v>1.4761665390360227E-3</v>
      </c>
      <c r="H30" s="465"/>
      <c r="I30" s="477">
        <v>321585</v>
      </c>
      <c r="J30" s="474"/>
      <c r="K30" s="478">
        <f>SUM((M6/3)*(M30))</f>
        <v>187.25811928402413</v>
      </c>
      <c r="L30" s="473"/>
      <c r="M30" s="479">
        <f>SUM(I30/I44)</f>
        <v>1.4496339593676056E-3</v>
      </c>
      <c r="N30" s="465"/>
      <c r="O30" s="477">
        <v>321585</v>
      </c>
      <c r="P30" s="474"/>
      <c r="Q30" s="480">
        <f>SUM((S6/3)*(S30))</f>
        <v>226.70452559994493</v>
      </c>
      <c r="R30" s="481"/>
      <c r="S30" s="479">
        <f>SUM(O30/O44)</f>
        <v>1.4496339593676056E-3</v>
      </c>
      <c r="T30" s="465"/>
      <c r="U30" s="522">
        <f t="shared" si="0"/>
        <v>39.446406315920797</v>
      </c>
      <c r="V30" s="525">
        <f t="shared" si="1"/>
        <v>0.21065258193739722</v>
      </c>
      <c r="W30" s="465"/>
    </row>
    <row r="31" spans="1:26">
      <c r="A31" s="465" t="s">
        <v>268</v>
      </c>
      <c r="B31" s="465"/>
      <c r="C31" s="477">
        <v>807284</v>
      </c>
      <c r="D31" s="473"/>
      <c r="E31" s="478">
        <f>SUM((G6/3)*(G31))</f>
        <v>453.62064889621371</v>
      </c>
      <c r="F31" s="473"/>
      <c r="G31" s="479">
        <f>SUM(C31/C44)</f>
        <v>3.9064103281632621E-3</v>
      </c>
      <c r="H31" s="465"/>
      <c r="I31" s="477">
        <v>802247</v>
      </c>
      <c r="J31" s="474"/>
      <c r="K31" s="478">
        <f>SUM((M6/3)*(M31))</f>
        <v>467.14636696752183</v>
      </c>
      <c r="L31" s="473"/>
      <c r="M31" s="479">
        <f>SUM(I31/I44)</f>
        <v>3.6163518043465445E-3</v>
      </c>
      <c r="N31" s="465"/>
      <c r="O31" s="477">
        <v>802247</v>
      </c>
      <c r="P31" s="474"/>
      <c r="Q31" s="480">
        <f>SUM((S6/3)*(S31))</f>
        <v>565.55195531190509</v>
      </c>
      <c r="R31" s="481"/>
      <c r="S31" s="479">
        <f>SUM(O31/O44)</f>
        <v>3.6163518043465445E-3</v>
      </c>
      <c r="T31" s="465"/>
      <c r="U31" s="522">
        <f t="shared" si="0"/>
        <v>98.405588344383261</v>
      </c>
      <c r="V31" s="525">
        <f t="shared" si="1"/>
        <v>0.21065258193739708</v>
      </c>
      <c r="W31" s="465"/>
    </row>
    <row r="32" spans="1:26">
      <c r="A32" s="465" t="s">
        <v>269</v>
      </c>
      <c r="B32" s="465"/>
      <c r="C32" s="477">
        <v>10410218</v>
      </c>
      <c r="D32" s="473"/>
      <c r="E32" s="478">
        <f>SUM((G6/3)*(G32))</f>
        <v>5849.6016820735258</v>
      </c>
      <c r="F32" s="473"/>
      <c r="G32" s="479">
        <f>SUM(C32/C44)</f>
        <v>5.0374568446334998E-2</v>
      </c>
      <c r="H32" s="465"/>
      <c r="I32" s="477">
        <v>11209859</v>
      </c>
      <c r="J32" s="474"/>
      <c r="K32" s="478">
        <f>SUM((M6/3)*(M32))</f>
        <v>6527.4720953374426</v>
      </c>
      <c r="L32" s="473"/>
      <c r="M32" s="479">
        <f>SUM(I32/I44)</f>
        <v>5.0531561752328584E-2</v>
      </c>
      <c r="N32" s="465"/>
      <c r="O32" s="477">
        <v>11209859</v>
      </c>
      <c r="P32" s="474"/>
      <c r="Q32" s="480">
        <f>SUM((S6/3)*(S32))</f>
        <v>7902.5009457445867</v>
      </c>
      <c r="R32" s="481"/>
      <c r="S32" s="479">
        <f>SUM(O32/O44)</f>
        <v>5.0531561752328584E-2</v>
      </c>
      <c r="T32" s="465"/>
      <c r="U32" s="522">
        <f t="shared" si="0"/>
        <v>1375.0288504071441</v>
      </c>
      <c r="V32" s="525">
        <f t="shared" si="1"/>
        <v>0.21065258193739714</v>
      </c>
      <c r="W32" s="465"/>
    </row>
    <row r="33" spans="1:23">
      <c r="A33" s="465" t="s">
        <v>270</v>
      </c>
      <c r="B33" s="465"/>
      <c r="C33" s="477">
        <v>17501105</v>
      </c>
      <c r="D33" s="473"/>
      <c r="E33" s="478">
        <f>SUM((G6/3)*(G33))</f>
        <v>9834.0393300260748</v>
      </c>
      <c r="F33" s="473"/>
      <c r="G33" s="479">
        <f>SUM(C33/C44)</f>
        <v>8.4687046103068694E-2</v>
      </c>
      <c r="H33" s="465"/>
      <c r="I33" s="477">
        <v>17458445</v>
      </c>
      <c r="J33" s="474"/>
      <c r="K33" s="478">
        <f>SUM((M6/3)*(M33))</f>
        <v>10166.007669274297</v>
      </c>
      <c r="L33" s="473"/>
      <c r="M33" s="479">
        <f>SUM(I33/I44)</f>
        <v>7.8698803581484136E-2</v>
      </c>
      <c r="N33" s="465"/>
      <c r="O33" s="477">
        <v>17458445</v>
      </c>
      <c r="P33" s="474"/>
      <c r="Q33" s="480">
        <f>SUM((S6/3)*(S33))</f>
        <v>12307.503432802307</v>
      </c>
      <c r="R33" s="481"/>
      <c r="S33" s="479">
        <f>SUM(O33/O44)</f>
        <v>7.8698803581484136E-2</v>
      </c>
      <c r="T33" s="465"/>
      <c r="U33" s="522">
        <f t="shared" si="0"/>
        <v>2141.4957635280098</v>
      </c>
      <c r="V33" s="525">
        <f t="shared" si="1"/>
        <v>0.21065258193739697</v>
      </c>
      <c r="W33" s="465"/>
    </row>
    <row r="34" spans="1:23">
      <c r="A34" s="465" t="s">
        <v>271</v>
      </c>
      <c r="B34" s="465"/>
      <c r="C34" s="477">
        <v>2264856</v>
      </c>
      <c r="D34" s="473"/>
      <c r="E34" s="478">
        <f>SUM((G6/3)*(G34))</f>
        <v>1272.6443833601099</v>
      </c>
      <c r="F34" s="473"/>
      <c r="G34" s="479">
        <f>SUM(C34/C44)</f>
        <v>1.0959534525894894E-2</v>
      </c>
      <c r="H34" s="465"/>
      <c r="I34" s="477">
        <v>2267145</v>
      </c>
      <c r="J34" s="474"/>
      <c r="K34" s="478">
        <f>SUM((M6/3)*(M34))</f>
        <v>1320.1527087525192</v>
      </c>
      <c r="L34" s="473"/>
      <c r="M34" s="479">
        <f>SUM(I34/I44)</f>
        <v>1.0219787561019544E-2</v>
      </c>
      <c r="N34" s="465"/>
      <c r="O34" s="477">
        <v>2267145</v>
      </c>
      <c r="P34" s="474"/>
      <c r="Q34" s="480">
        <f>SUM((S6/3)*(S34))</f>
        <v>1598.2462854028861</v>
      </c>
      <c r="R34" s="481"/>
      <c r="S34" s="479">
        <f>SUM(O34/O44)</f>
        <v>1.0219787561019544E-2</v>
      </c>
      <c r="T34" s="465"/>
      <c r="U34" s="522">
        <f t="shared" si="0"/>
        <v>278.09357665036691</v>
      </c>
      <c r="V34" s="525">
        <f t="shared" si="1"/>
        <v>0.21065258193739719</v>
      </c>
      <c r="W34" s="465"/>
    </row>
    <row r="35" spans="1:23">
      <c r="A35" s="465" t="s">
        <v>272</v>
      </c>
      <c r="B35" s="465"/>
      <c r="C35" s="477">
        <v>22067788</v>
      </c>
      <c r="D35" s="473"/>
      <c r="E35" s="478">
        <f>SUM((G6/3)*(G35))</f>
        <v>12400.10245745497</v>
      </c>
      <c r="F35" s="473"/>
      <c r="G35" s="479">
        <f>SUM(C35/C44)</f>
        <v>0.10678501613176689</v>
      </c>
      <c r="H35" s="465"/>
      <c r="I35" s="477">
        <v>20338065</v>
      </c>
      <c r="J35" s="474"/>
      <c r="K35" s="478">
        <f>SUM((M6/3)*(M35))</f>
        <v>11842.802996956438</v>
      </c>
      <c r="L35" s="473"/>
      <c r="M35" s="479">
        <f>SUM(I35/I44)</f>
        <v>9.1679492799184414E-2</v>
      </c>
      <c r="N35" s="465"/>
      <c r="O35" s="477">
        <v>20338065</v>
      </c>
      <c r="P35" s="474"/>
      <c r="Q35" s="480">
        <f>SUM((S6/3)*(S35))</f>
        <v>14337.520025641255</v>
      </c>
      <c r="R35" s="481"/>
      <c r="S35" s="479">
        <f>SUM(O35/O44)</f>
        <v>9.1679492799184414E-2</v>
      </c>
      <c r="T35" s="465"/>
      <c r="U35" s="522">
        <f t="shared" si="0"/>
        <v>2494.7170286848177</v>
      </c>
      <c r="V35" s="525">
        <f t="shared" si="1"/>
        <v>0.21065258193739708</v>
      </c>
      <c r="W35" s="465"/>
    </row>
    <row r="36" spans="1:23">
      <c r="A36" s="465" t="s">
        <v>291</v>
      </c>
      <c r="B36" s="465"/>
      <c r="C36" s="477">
        <v>6347726</v>
      </c>
      <c r="D36" s="473"/>
      <c r="E36" s="478">
        <f>SUM((G6/3)*(G36))</f>
        <v>3566.8483298756905</v>
      </c>
      <c r="F36" s="473"/>
      <c r="G36" s="479">
        <f>SUM(C36/C44)</f>
        <v>3.0716355590784002E-2</v>
      </c>
      <c r="H36" s="465"/>
      <c r="I36" s="477">
        <v>6787937</v>
      </c>
      <c r="J36" s="474"/>
      <c r="K36" s="478">
        <f>SUM((M6/3)*(M36))</f>
        <v>3952.5982755366108</v>
      </c>
      <c r="L36" s="473"/>
      <c r="M36" s="479">
        <f>SUM(I36/I44)</f>
        <v>3.0598516688427217E-2</v>
      </c>
      <c r="N36" s="465"/>
      <c r="O36" s="477">
        <v>6787937</v>
      </c>
      <c r="P36" s="474"/>
      <c r="Q36" s="480">
        <f>SUM((S6/3)*(S36))</f>
        <v>4785.2233076397015</v>
      </c>
      <c r="R36" s="481"/>
      <c r="S36" s="479">
        <f>SUM(O36/O44)</f>
        <v>3.0598516688427217E-2</v>
      </c>
      <c r="T36" s="465"/>
      <c r="U36" s="522">
        <f t="shared" si="0"/>
        <v>832.62503210309069</v>
      </c>
      <c r="V36" s="525">
        <f t="shared" si="1"/>
        <v>0.21065258193739717</v>
      </c>
      <c r="W36" s="465"/>
    </row>
    <row r="37" spans="1:23">
      <c r="A37" s="465" t="s">
        <v>273</v>
      </c>
      <c r="B37" s="465"/>
      <c r="C37" s="477">
        <v>5088143</v>
      </c>
      <c r="D37" s="473"/>
      <c r="E37" s="478">
        <f>SUM((G6/3)*(G37))</f>
        <v>2859.076519956704</v>
      </c>
      <c r="F37" s="473"/>
      <c r="G37" s="479">
        <f>SUM(C37/C44)</f>
        <v>2.4621291102476461E-2</v>
      </c>
      <c r="H37" s="465"/>
      <c r="I37" s="477">
        <v>5390620</v>
      </c>
      <c r="J37" s="474"/>
      <c r="K37" s="478">
        <f>SUM((M6/3)*(M37))</f>
        <v>3138.9441764225512</v>
      </c>
      <c r="L37" s="473"/>
      <c r="M37" s="479">
        <f>SUM(I37/I44)</f>
        <v>2.4299721112757751E-2</v>
      </c>
      <c r="N37" s="465"/>
      <c r="O37" s="477">
        <v>5390620</v>
      </c>
      <c r="P37" s="474"/>
      <c r="Q37" s="480">
        <f>SUM((S6/3)*(S37))</f>
        <v>3800.170871743318</v>
      </c>
      <c r="R37" s="481"/>
      <c r="S37" s="479">
        <f>SUM(O37/O44)</f>
        <v>2.4299721112757751E-2</v>
      </c>
      <c r="T37" s="465"/>
      <c r="U37" s="522">
        <f t="shared" si="0"/>
        <v>661.22669532076679</v>
      </c>
      <c r="V37" s="525">
        <f t="shared" si="1"/>
        <v>0.21065258193739705</v>
      </c>
      <c r="W37" s="465"/>
    </row>
    <row r="38" spans="1:23">
      <c r="A38" s="465" t="s">
        <v>274</v>
      </c>
      <c r="B38" s="465"/>
      <c r="C38" s="477">
        <v>65744894</v>
      </c>
      <c r="D38" s="473"/>
      <c r="E38" s="478">
        <f>SUM((G6/3)*(G38))</f>
        <v>36942.688667052469</v>
      </c>
      <c r="F38" s="473"/>
      <c r="G38" s="479">
        <f>SUM(C38/C44)</f>
        <v>0.31813653304859119</v>
      </c>
      <c r="H38" s="465"/>
      <c r="I38" s="477">
        <v>73135561</v>
      </c>
      <c r="J38" s="474"/>
      <c r="K38" s="478">
        <f>SUM((M6/3)*(M38))</f>
        <v>42586.649270463553</v>
      </c>
      <c r="L38" s="473"/>
      <c r="M38" s="479">
        <f>SUM(I38/I44)</f>
        <v>0.32967891183668713</v>
      </c>
      <c r="N38" s="465"/>
      <c r="O38" s="477">
        <v>73135561</v>
      </c>
      <c r="P38" s="474"/>
      <c r="Q38" s="480">
        <f>SUM((S6/3)*(S38))</f>
        <v>51557.636895349067</v>
      </c>
      <c r="R38" s="481"/>
      <c r="S38" s="479">
        <f>SUM(O38/O44)</f>
        <v>0.32967891183668713</v>
      </c>
      <c r="T38" s="465"/>
      <c r="U38" s="522">
        <f t="shared" si="0"/>
        <v>8970.9876248855144</v>
      </c>
      <c r="V38" s="525">
        <f t="shared" si="1"/>
        <v>0.21065258193739705</v>
      </c>
      <c r="W38" s="465"/>
    </row>
    <row r="39" spans="1:23">
      <c r="A39" s="465" t="s">
        <v>275</v>
      </c>
      <c r="B39" s="465"/>
      <c r="C39" s="477">
        <v>15782837</v>
      </c>
      <c r="D39" s="473"/>
      <c r="E39" s="478">
        <f>SUM((G6/3)*(G39))</f>
        <v>8868.5280042254908</v>
      </c>
      <c r="F39" s="473"/>
      <c r="G39" s="479">
        <f>SUM(C39/C44)</f>
        <v>7.6372425892891824E-2</v>
      </c>
      <c r="H39" s="465"/>
      <c r="I39" s="477">
        <v>18882800</v>
      </c>
      <c r="J39" s="474"/>
      <c r="K39" s="478">
        <f>SUM((M6/3)*(M39))</f>
        <v>10995.405926322343</v>
      </c>
      <c r="L39" s="473"/>
      <c r="M39" s="479">
        <f>SUM(I39/I44)</f>
        <v>8.5119480473114795E-2</v>
      </c>
      <c r="N39" s="465"/>
      <c r="O39" s="477">
        <v>18882800</v>
      </c>
      <c r="P39" s="474"/>
      <c r="Q39" s="480">
        <f>SUM((S6/3)*(S39))</f>
        <v>13311.616574151902</v>
      </c>
      <c r="R39" s="481"/>
      <c r="S39" s="479">
        <f>SUM(O39/O44)</f>
        <v>8.5119480473114795E-2</v>
      </c>
      <c r="T39" s="465"/>
      <c r="U39" s="522">
        <f t="shared" si="0"/>
        <v>2316.2106478295591</v>
      </c>
      <c r="V39" s="525">
        <f t="shared" si="1"/>
        <v>0.21065258193739711</v>
      </c>
      <c r="W39" s="465"/>
    </row>
    <row r="40" spans="1:23">
      <c r="A40" s="465" t="s">
        <v>276</v>
      </c>
      <c r="B40" s="465"/>
      <c r="C40" s="477">
        <v>1932978</v>
      </c>
      <c r="D40" s="473"/>
      <c r="E40" s="478">
        <f>SUM((G6/3)*(G40))</f>
        <v>1086.1589411682944</v>
      </c>
      <c r="F40" s="473"/>
      <c r="G40" s="479">
        <f>SUM(C40/C44)</f>
        <v>9.3535920733129434E-3</v>
      </c>
      <c r="H40" s="465"/>
      <c r="I40" s="477">
        <v>1929241</v>
      </c>
      <c r="J40" s="474"/>
      <c r="K40" s="478">
        <f>SUM((M6/3)*(M40))</f>
        <v>1123.3920776952593</v>
      </c>
      <c r="L40" s="473"/>
      <c r="M40" s="479">
        <f>SUM(I40/I44)</f>
        <v>8.6965911637803955E-3</v>
      </c>
      <c r="N40" s="465"/>
      <c r="O40" s="477">
        <v>1929241</v>
      </c>
      <c r="P40" s="474"/>
      <c r="Q40" s="480">
        <f>SUM((S6/3)*(S40))</f>
        <v>1360.0375193897828</v>
      </c>
      <c r="R40" s="481"/>
      <c r="S40" s="479">
        <f>SUM(O40/O44)</f>
        <v>8.6965911637803955E-3</v>
      </c>
      <c r="T40" s="465"/>
      <c r="U40" s="522">
        <f t="shared" si="0"/>
        <v>236.64544169452347</v>
      </c>
      <c r="V40" s="525">
        <f t="shared" si="1"/>
        <v>0.21065258193739717</v>
      </c>
      <c r="W40" s="465"/>
    </row>
    <row r="41" spans="1:23">
      <c r="A41" s="465" t="s">
        <v>278</v>
      </c>
      <c r="B41" s="465"/>
      <c r="C41" s="477">
        <v>1995</v>
      </c>
      <c r="D41" s="473"/>
      <c r="E41" s="478">
        <f>SUM((G6/3)*(G41))</f>
        <v>1.121009699867638</v>
      </c>
      <c r="F41" s="473"/>
      <c r="G41" s="479">
        <f>SUM(C41/C44)</f>
        <v>9.6537136926852358E-6</v>
      </c>
      <c r="H41" s="465"/>
      <c r="I41" s="477">
        <v>1574</v>
      </c>
      <c r="J41" s="474"/>
      <c r="K41" s="478">
        <f>SUM((M6/3)*(M41))</f>
        <v>0.91653615608020889</v>
      </c>
      <c r="L41" s="473"/>
      <c r="M41" s="479">
        <f>SUM(I41/I44)</f>
        <v>7.0952434101236414E-6</v>
      </c>
      <c r="N41" s="465"/>
      <c r="O41" s="477">
        <v>1574</v>
      </c>
      <c r="P41" s="474"/>
      <c r="Q41" s="480">
        <f>SUM((S6)*(S41))</f>
        <v>3.3288205913924465</v>
      </c>
      <c r="R41" s="481"/>
      <c r="S41" s="479">
        <f>SUM(O41/O44)</f>
        <v>7.0952434101236414E-6</v>
      </c>
      <c r="T41" s="465"/>
      <c r="U41" s="522">
        <f t="shared" si="0"/>
        <v>2.4122844353122375</v>
      </c>
      <c r="V41" s="525">
        <f t="shared" si="1"/>
        <v>2.6319577458121914</v>
      </c>
      <c r="W41" s="465"/>
    </row>
    <row r="42" spans="1:23">
      <c r="A42" s="465" t="s">
        <v>277</v>
      </c>
      <c r="B42" s="465"/>
      <c r="C42" s="477">
        <v>0</v>
      </c>
      <c r="D42" s="473"/>
      <c r="E42" s="478">
        <f>SUM((G6/3)*(G42))</f>
        <v>0</v>
      </c>
      <c r="F42" s="473"/>
      <c r="G42" s="479">
        <f>SUM(C42/C44)</f>
        <v>0</v>
      </c>
      <c r="H42" s="465"/>
      <c r="I42" s="477">
        <f>SUM(+AB42)</f>
        <v>0</v>
      </c>
      <c r="J42" s="474"/>
      <c r="K42" s="478">
        <v>0</v>
      </c>
      <c r="L42" s="473"/>
      <c r="M42" s="479">
        <v>0</v>
      </c>
      <c r="N42" s="465"/>
      <c r="O42" s="477">
        <f>SUM(+AH42)</f>
        <v>0</v>
      </c>
      <c r="P42" s="474"/>
      <c r="Q42" s="480">
        <f>SUM((S6/3)*(S42))</f>
        <v>0</v>
      </c>
      <c r="R42" s="481"/>
      <c r="S42" s="479">
        <f>SUM(O42/O44)</f>
        <v>0</v>
      </c>
      <c r="T42" s="465"/>
      <c r="U42" s="522">
        <f t="shared" si="0"/>
        <v>0</v>
      </c>
      <c r="V42" s="525" t="e">
        <f t="shared" si="1"/>
        <v>#DIV/0!</v>
      </c>
      <c r="W42" s="465"/>
    </row>
    <row r="43" spans="1:23">
      <c r="A43" s="465" t="s">
        <v>279</v>
      </c>
      <c r="B43" s="465"/>
      <c r="C43" s="477">
        <v>1510971</v>
      </c>
      <c r="D43" s="473"/>
      <c r="E43" s="478">
        <f>SUM((G6/3)*(G43))</f>
        <v>849.02914647554132</v>
      </c>
      <c r="F43" s="473"/>
      <c r="G43" s="479">
        <f>SUM(C43/C44)</f>
        <v>7.3115195147620575E-3</v>
      </c>
      <c r="H43" s="465"/>
      <c r="I43" s="477">
        <v>1444862</v>
      </c>
      <c r="J43" s="474"/>
      <c r="K43" s="478">
        <f>SUM((M6/3)*(M43))</f>
        <v>841.33943046147567</v>
      </c>
      <c r="L43" s="473"/>
      <c r="M43" s="479">
        <f>SUM(I43/I44)</f>
        <v>6.5131179059962291E-3</v>
      </c>
      <c r="N43" s="465"/>
      <c r="O43" s="477">
        <v>1444862</v>
      </c>
      <c r="P43" s="474"/>
      <c r="Q43" s="480">
        <f>SUM((S6/3)*(S43))</f>
        <v>1018.5697537739247</v>
      </c>
      <c r="R43" s="481"/>
      <c r="S43" s="479">
        <f>SUM(O43/O44)</f>
        <v>6.5131179059962291E-3</v>
      </c>
      <c r="T43" s="465"/>
      <c r="U43" s="522">
        <f t="shared" si="0"/>
        <v>177.23032331244906</v>
      </c>
      <c r="V43" s="525">
        <f t="shared" si="1"/>
        <v>0.21065258193739717</v>
      </c>
      <c r="W43" s="465"/>
    </row>
    <row r="44" spans="1:23">
      <c r="A44" s="465" t="s">
        <v>289</v>
      </c>
      <c r="B44" s="465"/>
      <c r="C44" s="484">
        <f>SUM(C14:C43)</f>
        <v>206656222</v>
      </c>
      <c r="D44" s="467"/>
      <c r="E44" s="468">
        <f>SUM(E14:E43)</f>
        <v>116122.12</v>
      </c>
      <c r="F44" s="467"/>
      <c r="G44" s="469">
        <f>SUM(G14:G43)</f>
        <v>1</v>
      </c>
      <c r="H44" s="470"/>
      <c r="I44" s="484">
        <f>SUM(I14:I43)</f>
        <v>221838760</v>
      </c>
      <c r="J44" s="485"/>
      <c r="K44" s="468">
        <f>SUM(K14:K43)</f>
        <v>129176.14</v>
      </c>
      <c r="L44" s="467"/>
      <c r="M44" s="469">
        <f>SUM(M14:M43)</f>
        <v>0.99999999999999989</v>
      </c>
      <c r="N44" s="470"/>
      <c r="O44" s="484">
        <f>SUM(O14:O43)</f>
        <v>221838760</v>
      </c>
      <c r="P44" s="485"/>
      <c r="Q44" s="468">
        <f>SUM(Q14:Q43)</f>
        <v>156389.64662943425</v>
      </c>
      <c r="R44" s="486"/>
      <c r="S44" s="469">
        <f>SUM(S14:S43)</f>
        <v>0.99999999999999989</v>
      </c>
      <c r="T44" s="465"/>
      <c r="U44" s="523"/>
      <c r="V44" s="523"/>
      <c r="W44" s="465"/>
    </row>
    <row r="45" spans="1:23" ht="9.75" customHeight="1" thickBot="1">
      <c r="A45" s="465"/>
      <c r="B45" s="465"/>
      <c r="C45" s="487"/>
      <c r="D45" s="488"/>
      <c r="E45" s="488"/>
      <c r="F45" s="488"/>
      <c r="G45" s="489"/>
      <c r="H45" s="465"/>
      <c r="I45" s="487"/>
      <c r="J45" s="488"/>
      <c r="K45" s="488"/>
      <c r="L45" s="488"/>
      <c r="M45" s="489"/>
      <c r="N45" s="465"/>
      <c r="O45" s="487"/>
      <c r="P45" s="488"/>
      <c r="Q45" s="488"/>
      <c r="R45" s="488"/>
      <c r="S45" s="489"/>
      <c r="T45" s="465"/>
      <c r="U45" s="465"/>
      <c r="V45" s="465"/>
      <c r="W45" s="465"/>
    </row>
    <row r="46" spans="1:23" ht="4.5" customHeight="1">
      <c r="A46" s="465"/>
      <c r="B46" s="465"/>
      <c r="C46" s="465"/>
      <c r="D46" s="465"/>
      <c r="E46" s="465"/>
      <c r="F46" s="465"/>
      <c r="G46" s="465"/>
      <c r="H46" s="465"/>
      <c r="I46" s="465"/>
      <c r="J46" s="465"/>
      <c r="K46" s="465"/>
      <c r="L46" s="465"/>
      <c r="M46" s="465"/>
      <c r="N46" s="465"/>
      <c r="O46" s="465"/>
      <c r="P46" s="465"/>
      <c r="Q46" s="465"/>
      <c r="R46" s="465"/>
      <c r="S46" s="465"/>
      <c r="T46" s="465"/>
      <c r="U46" s="465"/>
      <c r="V46" s="465"/>
      <c r="W46" s="465"/>
    </row>
    <row r="47" spans="1:23">
      <c r="A47" s="465"/>
      <c r="B47" s="465"/>
      <c r="C47" s="465"/>
      <c r="D47" s="465"/>
      <c r="E47" s="465"/>
      <c r="F47" s="465"/>
      <c r="G47" s="465"/>
      <c r="H47" s="465"/>
      <c r="I47" s="465"/>
      <c r="J47" s="465"/>
      <c r="K47" s="465"/>
      <c r="L47" s="465"/>
      <c r="M47" s="465"/>
      <c r="N47" s="465"/>
      <c r="O47" s="490"/>
      <c r="P47" s="490"/>
      <c r="Q47" s="490"/>
      <c r="R47" s="490"/>
      <c r="S47" s="491" t="s">
        <v>286</v>
      </c>
      <c r="T47" s="465"/>
      <c r="U47" s="465"/>
      <c r="V47" s="465"/>
      <c r="W47" s="465"/>
    </row>
    <row r="48" spans="1:23">
      <c r="A48" s="465"/>
      <c r="B48" s="465"/>
      <c r="C48" s="465"/>
      <c r="D48" s="465"/>
      <c r="E48" s="465"/>
      <c r="F48" s="465"/>
      <c r="G48" s="465"/>
      <c r="H48" s="465"/>
      <c r="I48" s="465"/>
      <c r="J48" s="465"/>
      <c r="K48" s="465"/>
      <c r="L48" s="465"/>
      <c r="M48" s="465"/>
      <c r="N48" s="465"/>
      <c r="O48" s="490"/>
      <c r="P48" s="490"/>
      <c r="Q48" s="490"/>
      <c r="R48" s="490"/>
      <c r="S48" s="491"/>
      <c r="T48" s="465"/>
      <c r="U48" s="465"/>
      <c r="V48" s="465"/>
      <c r="W48" s="465"/>
    </row>
    <row r="49" spans="1:23">
      <c r="A49" s="465"/>
      <c r="B49" s="465"/>
      <c r="C49" s="465"/>
      <c r="D49" s="465"/>
      <c r="E49" s="465"/>
      <c r="F49" s="465"/>
      <c r="G49" s="465"/>
      <c r="H49" s="465"/>
      <c r="I49" s="465"/>
      <c r="J49" s="465"/>
      <c r="K49" s="465"/>
      <c r="L49" s="465"/>
      <c r="M49" s="465"/>
      <c r="N49" s="465"/>
      <c r="O49" s="490"/>
      <c r="P49" s="490"/>
      <c r="Q49" s="490"/>
      <c r="R49" s="490"/>
      <c r="S49" s="491"/>
      <c r="T49" s="465"/>
      <c r="U49" s="465"/>
      <c r="V49" s="465"/>
      <c r="W49" s="465"/>
    </row>
    <row r="50" spans="1:23" ht="13.5" thickBot="1">
      <c r="A50" s="465"/>
      <c r="B50" s="465"/>
      <c r="C50" s="465"/>
      <c r="D50" s="465"/>
      <c r="E50" s="465"/>
      <c r="F50" s="465"/>
      <c r="G50" s="465"/>
      <c r="H50" s="465"/>
      <c r="I50" s="465"/>
      <c r="J50" s="465"/>
      <c r="K50" s="465"/>
      <c r="L50" s="465"/>
      <c r="M50" s="465"/>
      <c r="N50" s="465"/>
      <c r="O50" s="465"/>
      <c r="P50" s="465"/>
      <c r="Q50" s="465"/>
      <c r="R50" s="465"/>
      <c r="S50" s="465"/>
      <c r="T50" s="465"/>
      <c r="U50" s="465"/>
      <c r="V50" s="465"/>
      <c r="W50" s="465"/>
    </row>
    <row r="51" spans="1:23">
      <c r="A51" s="465"/>
      <c r="B51" s="465"/>
      <c r="C51" s="492"/>
      <c r="D51" s="493"/>
      <c r="E51" s="493"/>
      <c r="F51" s="493"/>
      <c r="G51" s="494"/>
      <c r="H51" s="465"/>
      <c r="I51" s="492"/>
      <c r="J51" s="493"/>
      <c r="K51" s="493"/>
      <c r="L51" s="493"/>
      <c r="M51" s="494"/>
      <c r="N51" s="465"/>
      <c r="O51" s="492"/>
      <c r="P51" s="493"/>
      <c r="Q51" s="493"/>
      <c r="R51" s="493"/>
      <c r="S51" s="494"/>
      <c r="T51" s="465"/>
      <c r="U51" s="465"/>
      <c r="V51" s="465"/>
      <c r="W51" s="465"/>
    </row>
    <row r="52" spans="1:23">
      <c r="A52" s="465"/>
      <c r="B52" s="465"/>
      <c r="C52" s="495" t="s">
        <v>283</v>
      </c>
      <c r="D52" s="496"/>
      <c r="E52" s="496"/>
      <c r="F52" s="496"/>
      <c r="G52" s="497">
        <v>348366.36</v>
      </c>
      <c r="H52" s="465"/>
      <c r="I52" s="495" t="s">
        <v>284</v>
      </c>
      <c r="J52" s="496"/>
      <c r="K52" s="496"/>
      <c r="L52" s="496"/>
      <c r="M52" s="497">
        <v>387528.42</v>
      </c>
      <c r="N52" s="465"/>
      <c r="O52" s="495" t="s">
        <v>285</v>
      </c>
      <c r="P52" s="496"/>
      <c r="Q52" s="496"/>
      <c r="R52" s="496"/>
      <c r="S52" s="497">
        <f>SUM('2016-17 Proposed Budget'!$S$69)</f>
        <v>469162.28224712005</v>
      </c>
      <c r="T52" s="465"/>
      <c r="U52" s="465"/>
      <c r="V52" s="465"/>
      <c r="W52" s="465"/>
    </row>
    <row r="53" spans="1:23" ht="6.75" customHeight="1">
      <c r="A53" s="465"/>
      <c r="B53" s="465"/>
      <c r="C53" s="498"/>
      <c r="D53" s="499"/>
      <c r="E53" s="499"/>
      <c r="F53" s="499"/>
      <c r="G53" s="500"/>
      <c r="H53" s="465"/>
      <c r="I53" s="498"/>
      <c r="J53" s="499"/>
      <c r="K53" s="499"/>
      <c r="L53" s="499"/>
      <c r="M53" s="500"/>
      <c r="N53" s="465"/>
      <c r="O53" s="498"/>
      <c r="P53" s="499"/>
      <c r="Q53" s="499"/>
      <c r="R53" s="499"/>
      <c r="S53" s="500"/>
      <c r="T53" s="465"/>
      <c r="U53" s="465"/>
      <c r="V53" s="465"/>
      <c r="W53" s="465"/>
    </row>
    <row r="54" spans="1:23">
      <c r="A54" s="465"/>
      <c r="B54" s="465"/>
      <c r="C54" s="501" t="s">
        <v>203</v>
      </c>
      <c r="D54" s="502"/>
      <c r="E54" s="502"/>
      <c r="F54" s="502"/>
      <c r="G54" s="503"/>
      <c r="H54" s="465"/>
      <c r="I54" s="501" t="s">
        <v>237</v>
      </c>
      <c r="J54" s="502"/>
      <c r="K54" s="502"/>
      <c r="L54" s="502"/>
      <c r="M54" s="503"/>
      <c r="N54" s="465"/>
      <c r="O54" s="501" t="s">
        <v>239</v>
      </c>
      <c r="P54" s="502"/>
      <c r="Q54" s="502"/>
      <c r="R54" s="502"/>
      <c r="S54" s="503"/>
      <c r="T54" s="465"/>
      <c r="U54" s="465"/>
      <c r="V54" s="465"/>
      <c r="W54" s="465"/>
    </row>
    <row r="55" spans="1:23">
      <c r="A55" s="465"/>
      <c r="B55" s="465"/>
      <c r="C55" s="504" t="s">
        <v>287</v>
      </c>
      <c r="D55" s="505"/>
      <c r="E55" s="506" t="s">
        <v>238</v>
      </c>
      <c r="F55" s="506"/>
      <c r="G55" s="507" t="s">
        <v>280</v>
      </c>
      <c r="H55" s="465"/>
      <c r="I55" s="504" t="s">
        <v>287</v>
      </c>
      <c r="J55" s="505"/>
      <c r="K55" s="506" t="s">
        <v>238</v>
      </c>
      <c r="L55" s="506"/>
      <c r="M55" s="507" t="s">
        <v>280</v>
      </c>
      <c r="N55" s="465"/>
      <c r="O55" s="504" t="s">
        <v>287</v>
      </c>
      <c r="P55" s="505"/>
      <c r="Q55" s="506" t="s">
        <v>238</v>
      </c>
      <c r="R55" s="506"/>
      <c r="S55" s="507" t="s">
        <v>280</v>
      </c>
      <c r="T55" s="465"/>
      <c r="U55" s="465"/>
      <c r="V55" s="465"/>
      <c r="W55" s="465"/>
    </row>
    <row r="56" spans="1:23">
      <c r="A56" s="465" t="s">
        <v>241</v>
      </c>
      <c r="B56" s="465"/>
      <c r="C56" s="477">
        <v>6276292</v>
      </c>
      <c r="D56" s="473"/>
      <c r="E56" s="478">
        <f>SUM((G6/3)*(G56))</f>
        <v>2646.3373620981674</v>
      </c>
      <c r="F56" s="473"/>
      <c r="G56" s="479">
        <f>+SUM(C56/C67)</f>
        <v>2.2789261530001069E-2</v>
      </c>
      <c r="H56" s="465"/>
      <c r="I56" s="477">
        <v>6459018</v>
      </c>
      <c r="J56" s="474"/>
      <c r="K56" s="478">
        <f>SUM((M6/3)*(M56))</f>
        <v>2848.3551373502764</v>
      </c>
      <c r="L56" s="473"/>
      <c r="M56" s="479">
        <f>SUM(I56/I67)</f>
        <v>2.2050164506775605E-2</v>
      </c>
      <c r="N56" s="465"/>
      <c r="O56" s="477">
        <v>6459018</v>
      </c>
      <c r="P56" s="474"/>
      <c r="Q56" s="480">
        <f>SUM((S6/3)*(S56))</f>
        <v>3448.3685013077616</v>
      </c>
      <c r="R56" s="473"/>
      <c r="S56" s="479">
        <f>SUM(O56/O67)</f>
        <v>2.2050164506775605E-2</v>
      </c>
      <c r="T56" s="465"/>
      <c r="U56" s="522">
        <f t="shared" ref="U56:U66" si="2">SUM(Q56-K56)</f>
        <v>600.01336395748513</v>
      </c>
      <c r="V56" s="525">
        <f t="shared" ref="V56:V66" si="3">SUM(U56/K56)</f>
        <v>0.21065258193739711</v>
      </c>
      <c r="W56" s="465"/>
    </row>
    <row r="57" spans="1:23">
      <c r="A57" s="465" t="s">
        <v>242</v>
      </c>
      <c r="B57" s="465"/>
      <c r="C57" s="477">
        <v>22477398</v>
      </c>
      <c r="D57" s="473"/>
      <c r="E57" s="478">
        <f>SUM((G6/3)*(G57))</f>
        <v>9477.3758343542049</v>
      </c>
      <c r="F57" s="473"/>
      <c r="G57" s="479">
        <f>SUM(C57/C67)</f>
        <v>8.161559429292374E-2</v>
      </c>
      <c r="H57" s="465"/>
      <c r="I57" s="477">
        <v>23954064</v>
      </c>
      <c r="J57" s="474"/>
      <c r="K57" s="478">
        <f>SUM((M6/3)*(M57))</f>
        <v>10563.475942444704</v>
      </c>
      <c r="L57" s="473"/>
      <c r="M57" s="479">
        <f>SUM(I57/I67)</f>
        <v>8.1775751639929048E-2</v>
      </c>
      <c r="N57" s="465"/>
      <c r="O57" s="477">
        <v>23954064</v>
      </c>
      <c r="P57" s="474"/>
      <c r="Q57" s="480">
        <f>SUM((S6/3)*(S57))</f>
        <v>12788.69942395426</v>
      </c>
      <c r="R57" s="473"/>
      <c r="S57" s="479">
        <f>SUM(O57/O67)</f>
        <v>8.1775751639929048E-2</v>
      </c>
      <c r="T57" s="465"/>
      <c r="U57" s="522">
        <f t="shared" si="2"/>
        <v>2225.2234815095562</v>
      </c>
      <c r="V57" s="525">
        <f t="shared" si="3"/>
        <v>0.21065258193739711</v>
      </c>
      <c r="W57" s="465"/>
    </row>
    <row r="58" spans="1:23">
      <c r="A58" s="465" t="s">
        <v>243</v>
      </c>
      <c r="B58" s="465"/>
      <c r="C58" s="477">
        <v>10663367</v>
      </c>
      <c r="D58" s="473"/>
      <c r="E58" s="478">
        <f>SUM((G6/3)*(G58))</f>
        <v>4496.1047857341009</v>
      </c>
      <c r="F58" s="473"/>
      <c r="G58" s="479">
        <f>SUM(C58/C67)</f>
        <v>3.8718762503940685E-2</v>
      </c>
      <c r="H58" s="465"/>
      <c r="I58" s="477">
        <v>8210705</v>
      </c>
      <c r="J58" s="474"/>
      <c r="K58" s="478">
        <f>SUM((M6/3)*(M58))</f>
        <v>3620.8296319994156</v>
      </c>
      <c r="L58" s="473"/>
      <c r="M58" s="479">
        <f>SUM(I58/I67)</f>
        <v>2.8030173621842357E-2</v>
      </c>
      <c r="N58" s="465"/>
      <c r="O58" s="477">
        <v>8210705</v>
      </c>
      <c r="P58" s="474"/>
      <c r="Q58" s="480">
        <f>SUM((S6/3)*(S58))</f>
        <v>4383.5667427355274</v>
      </c>
      <c r="R58" s="473"/>
      <c r="S58" s="479">
        <f>SUM(O58/O67)</f>
        <v>2.8030173621842357E-2</v>
      </c>
      <c r="T58" s="465"/>
      <c r="U58" s="522">
        <f t="shared" si="2"/>
        <v>762.73711073611184</v>
      </c>
      <c r="V58" s="525">
        <f t="shared" si="3"/>
        <v>0.21065258193739697</v>
      </c>
      <c r="W58" s="465"/>
    </row>
    <row r="59" spans="1:23">
      <c r="A59" s="465" t="s">
        <v>244</v>
      </c>
      <c r="B59" s="465"/>
      <c r="C59" s="477">
        <v>17286967</v>
      </c>
      <c r="D59" s="473"/>
      <c r="E59" s="478">
        <f>SUM((G6/3)*(G59))</f>
        <v>7288.881181668743</v>
      </c>
      <c r="F59" s="473"/>
      <c r="G59" s="479">
        <f>SUM(C59/C67)</f>
        <v>6.2769101887467635E-2</v>
      </c>
      <c r="H59" s="465"/>
      <c r="I59" s="477">
        <v>18604012</v>
      </c>
      <c r="J59" s="474"/>
      <c r="K59" s="478">
        <f>SUM((M6/3)*(M59))</f>
        <v>8204.1624834496815</v>
      </c>
      <c r="L59" s="473"/>
      <c r="M59" s="479">
        <f>SUM(I59/I67)</f>
        <v>6.3511438594230182E-2</v>
      </c>
      <c r="N59" s="465"/>
      <c r="O59" s="477">
        <v>18604012</v>
      </c>
      <c r="P59" s="474"/>
      <c r="Q59" s="480">
        <f>SUM((S6/3)*(S59))</f>
        <v>9932.3904932222849</v>
      </c>
      <c r="R59" s="473"/>
      <c r="S59" s="479">
        <f>SUM(O59/O67)</f>
        <v>6.3511438594230182E-2</v>
      </c>
      <c r="T59" s="465"/>
      <c r="U59" s="522">
        <f t="shared" si="2"/>
        <v>1728.2280097726034</v>
      </c>
      <c r="V59" s="525">
        <f t="shared" si="3"/>
        <v>0.21065258193739711</v>
      </c>
      <c r="W59" s="465"/>
    </row>
    <row r="60" spans="1:23">
      <c r="A60" s="465" t="s">
        <v>245</v>
      </c>
      <c r="B60" s="465"/>
      <c r="C60" s="477">
        <v>34934925</v>
      </c>
      <c r="D60" s="473"/>
      <c r="E60" s="478">
        <f>SUM((G6/3)*(G60))</f>
        <v>14729.970700789148</v>
      </c>
      <c r="F60" s="473"/>
      <c r="G60" s="479">
        <f>SUM(C60/C67)</f>
        <v>0.1268489647001721</v>
      </c>
      <c r="H60" s="465"/>
      <c r="I60" s="477">
        <v>39385720</v>
      </c>
      <c r="J60" s="474"/>
      <c r="K60" s="478">
        <f>SUM((M6/3)*(M60))</f>
        <v>17368.664694886982</v>
      </c>
      <c r="L60" s="473"/>
      <c r="M60" s="479">
        <f>SUM(I60/I67)</f>
        <v>0.13445722015603642</v>
      </c>
      <c r="N60" s="465"/>
      <c r="O60" s="477">
        <v>39385720</v>
      </c>
      <c r="P60" s="474"/>
      <c r="Q60" s="480">
        <f>SUM((S6/3)*(S60))</f>
        <v>21027.418757669839</v>
      </c>
      <c r="R60" s="473"/>
      <c r="S60" s="479">
        <f>SUM(O60/O67)</f>
        <v>0.13445722015603642</v>
      </c>
      <c r="T60" s="465"/>
      <c r="U60" s="522">
        <f t="shared" si="2"/>
        <v>3658.7540627828566</v>
      </c>
      <c r="V60" s="525">
        <f t="shared" si="3"/>
        <v>0.21065258193739714</v>
      </c>
      <c r="W60" s="465"/>
    </row>
    <row r="61" spans="1:23">
      <c r="A61" s="465" t="s">
        <v>246</v>
      </c>
      <c r="B61" s="465"/>
      <c r="C61" s="477">
        <v>47398234</v>
      </c>
      <c r="D61" s="473"/>
      <c r="E61" s="478">
        <f>SUM((G6/3))*(G61)</f>
        <v>19985.003491181047</v>
      </c>
      <c r="F61" s="473"/>
      <c r="G61" s="479">
        <f>SUM(C61/C67)</f>
        <v>0.17210332959113259</v>
      </c>
      <c r="H61" s="465"/>
      <c r="I61" s="477">
        <v>46725568</v>
      </c>
      <c r="J61" s="474"/>
      <c r="K61" s="478">
        <f>SUM((M6/3)*(M61))</f>
        <v>20605.456070630193</v>
      </c>
      <c r="L61" s="473"/>
      <c r="M61" s="479">
        <f>SUM(I61/I67)</f>
        <v>0.15951441241881195</v>
      </c>
      <c r="N61" s="465"/>
      <c r="O61" s="477">
        <v>46725568</v>
      </c>
      <c r="P61" s="474"/>
      <c r="Q61" s="480">
        <f>SUM((S6/3)*(S61))</f>
        <v>24946.048593906056</v>
      </c>
      <c r="R61" s="473"/>
      <c r="S61" s="479">
        <f>SUM(O61/O67)</f>
        <v>0.15951441241881195</v>
      </c>
      <c r="T61" s="465"/>
      <c r="U61" s="522">
        <f t="shared" si="2"/>
        <v>4340.5925232758636</v>
      </c>
      <c r="V61" s="525">
        <f t="shared" si="3"/>
        <v>0.21065258193739714</v>
      </c>
      <c r="W61" s="465"/>
    </row>
    <row r="62" spans="1:23">
      <c r="A62" s="465" t="s">
        <v>247</v>
      </c>
      <c r="B62" s="465"/>
      <c r="C62" s="477">
        <v>5711287</v>
      </c>
      <c r="D62" s="473"/>
      <c r="E62" s="478">
        <f>SUM((G6/3)*(G62))</f>
        <v>2408.1085095730978</v>
      </c>
      <c r="F62" s="473"/>
      <c r="G62" s="479">
        <f>SUM(C62/C67)</f>
        <v>2.0737724298980229E-2</v>
      </c>
      <c r="H62" s="465"/>
      <c r="I62" s="477">
        <v>6875134</v>
      </c>
      <c r="J62" s="474"/>
      <c r="K62" s="478">
        <f>SUM((M6/3)*(M62))</f>
        <v>3031.8576676627245</v>
      </c>
      <c r="L62" s="473"/>
      <c r="M62" s="479">
        <f>SUM(I62/I67)</f>
        <v>2.3470725070920406E-2</v>
      </c>
      <c r="N62" s="465"/>
      <c r="O62" s="477">
        <v>6875134</v>
      </c>
      <c r="P62" s="474"/>
      <c r="Q62" s="480">
        <f>SUM((S6/3)*(S62))</f>
        <v>3670.526313422572</v>
      </c>
      <c r="R62" s="473"/>
      <c r="S62" s="479">
        <f>SUM(O62/O67)</f>
        <v>2.3470725070920406E-2</v>
      </c>
      <c r="T62" s="465"/>
      <c r="U62" s="522">
        <f t="shared" si="2"/>
        <v>638.66864575984755</v>
      </c>
      <c r="V62" s="525">
        <f t="shared" si="3"/>
        <v>0.21065258193739705</v>
      </c>
      <c r="W62" s="465"/>
    </row>
    <row r="63" spans="1:23">
      <c r="A63" s="465" t="s">
        <v>248</v>
      </c>
      <c r="B63" s="465"/>
      <c r="C63" s="477">
        <v>18823863</v>
      </c>
      <c r="D63" s="473"/>
      <c r="E63" s="478">
        <f>SUM((G6/3)*(G63))</f>
        <v>7936.8984036939792</v>
      </c>
      <c r="F63" s="473"/>
      <c r="G63" s="479">
        <f>SUM(C63/C67)</f>
        <v>6.8349582350838753E-2</v>
      </c>
      <c r="H63" s="465"/>
      <c r="I63" s="477">
        <v>16594176</v>
      </c>
      <c r="J63" s="474"/>
      <c r="K63" s="478">
        <f>SUM((M6/3)*(M63))</f>
        <v>7317.8471494729783</v>
      </c>
      <c r="L63" s="473"/>
      <c r="M63" s="479">
        <f>SUM(I63/I67)</f>
        <v>5.6650145680719195E-2</v>
      </c>
      <c r="N63" s="465"/>
      <c r="O63" s="477">
        <v>16594176</v>
      </c>
      <c r="P63" s="474"/>
      <c r="Q63" s="480">
        <f>SUM((S6/3)*(S63))</f>
        <v>8859.3705457326832</v>
      </c>
      <c r="R63" s="473"/>
      <c r="S63" s="479">
        <f>SUM(O63/O67)</f>
        <v>5.6650145680719195E-2</v>
      </c>
      <c r="T63" s="465"/>
      <c r="U63" s="522">
        <f t="shared" si="2"/>
        <v>1541.5233962597049</v>
      </c>
      <c r="V63" s="525">
        <f t="shared" si="3"/>
        <v>0.21065258193739717</v>
      </c>
      <c r="W63" s="465"/>
    </row>
    <row r="64" spans="1:23">
      <c r="A64" s="465" t="s">
        <v>249</v>
      </c>
      <c r="B64" s="465"/>
      <c r="C64" s="477">
        <v>83070320</v>
      </c>
      <c r="D64" s="473"/>
      <c r="E64" s="478">
        <f>SUM((G6/3)*(G64))</f>
        <v>35025.790944310851</v>
      </c>
      <c r="F64" s="473"/>
      <c r="G64" s="479">
        <f>SUM(C64/C67)</f>
        <v>0.30162893120028167</v>
      </c>
      <c r="H64" s="465"/>
      <c r="I64" s="477">
        <v>98069848</v>
      </c>
      <c r="J64" s="474"/>
      <c r="K64" s="478">
        <f>SUM((M6/3)*(M64))</f>
        <v>43247.712790080586</v>
      </c>
      <c r="L64" s="473"/>
      <c r="M64" s="479">
        <f>SUM(I64/I67)</f>
        <v>0.33479644762632316</v>
      </c>
      <c r="N64" s="465"/>
      <c r="O64" s="477">
        <v>98069848</v>
      </c>
      <c r="P64" s="474"/>
      <c r="Q64" s="480">
        <f>SUM((S6/3)*(S64))</f>
        <v>52357.955152198054</v>
      </c>
      <c r="R64" s="473"/>
      <c r="S64" s="479">
        <f>SUM(O64/O67)</f>
        <v>0.33479644762632316</v>
      </c>
      <c r="T64" s="465"/>
      <c r="U64" s="522">
        <f t="shared" si="2"/>
        <v>9110.2423621174676</v>
      </c>
      <c r="V64" s="525">
        <f t="shared" si="3"/>
        <v>0.21065258193739711</v>
      </c>
      <c r="W64" s="465"/>
    </row>
    <row r="65" spans="1:23">
      <c r="A65" s="465" t="s">
        <v>251</v>
      </c>
      <c r="B65" s="465"/>
      <c r="C65" s="477">
        <v>19773704</v>
      </c>
      <c r="D65" s="473"/>
      <c r="E65" s="478">
        <f>SUM((G6/3)*(G65))</f>
        <v>8337.3896055616879</v>
      </c>
      <c r="F65" s="473"/>
      <c r="G65" s="479">
        <f>SUM(C65/C67)</f>
        <v>7.1798461874117425E-2</v>
      </c>
      <c r="H65" s="465"/>
      <c r="I65" s="477">
        <v>17964970</v>
      </c>
      <c r="J65" s="474"/>
      <c r="K65" s="478">
        <f>SUM((M6/3)*(M65))</f>
        <v>7922.3520652587731</v>
      </c>
      <c r="L65" s="473"/>
      <c r="M65" s="479">
        <f>SUM(I65/I67)</f>
        <v>6.132984052053865E-2</v>
      </c>
      <c r="N65" s="465"/>
      <c r="O65" s="477">
        <v>17964970</v>
      </c>
      <c r="P65" s="474"/>
      <c r="Q65" s="480">
        <f>SUM((S6/3)*(S65))</f>
        <v>9591.2159828226049</v>
      </c>
      <c r="R65" s="473"/>
      <c r="S65" s="479">
        <f>SUM(O65/O67)</f>
        <v>6.132984052053865E-2</v>
      </c>
      <c r="T65" s="465"/>
      <c r="U65" s="522">
        <f t="shared" si="2"/>
        <v>1668.8639175638318</v>
      </c>
      <c r="V65" s="525">
        <f t="shared" si="3"/>
        <v>0.21065258193739722</v>
      </c>
      <c r="W65" s="465"/>
    </row>
    <row r="66" spans="1:23">
      <c r="A66" s="465" t="s">
        <v>250</v>
      </c>
      <c r="B66" s="465"/>
      <c r="C66" s="477">
        <v>8989320</v>
      </c>
      <c r="D66" s="473"/>
      <c r="E66" s="478">
        <f>SUM((G6/3)*(G66))</f>
        <v>3790.2591810349645</v>
      </c>
      <c r="F66" s="473"/>
      <c r="G66" s="479">
        <f>SUM(C66/C67)</f>
        <v>3.2640285770144092E-2</v>
      </c>
      <c r="H66" s="465"/>
      <c r="I66" s="477">
        <v>10080586</v>
      </c>
      <c r="J66" s="474"/>
      <c r="K66" s="478">
        <f>SUM((M6/3)*(M66))</f>
        <v>4445.4263667636897</v>
      </c>
      <c r="L66" s="473"/>
      <c r="M66" s="479">
        <f>SUM(I66/I67)</f>
        <v>3.4413680163873063E-2</v>
      </c>
      <c r="N66" s="465"/>
      <c r="O66" s="477">
        <v>10080586</v>
      </c>
      <c r="P66" s="474"/>
      <c r="Q66" s="480">
        <f>SUM((S6/3)*(S66))</f>
        <v>5381.8669087350436</v>
      </c>
      <c r="R66" s="473"/>
      <c r="S66" s="479">
        <f>SUM(O66/O67)</f>
        <v>3.4413680163873063E-2</v>
      </c>
      <c r="T66" s="465"/>
      <c r="U66" s="522">
        <f t="shared" si="2"/>
        <v>936.44054197135392</v>
      </c>
      <c r="V66" s="525">
        <f t="shared" si="3"/>
        <v>0.21065258193739717</v>
      </c>
      <c r="W66" s="465"/>
    </row>
    <row r="67" spans="1:23">
      <c r="A67" s="465" t="s">
        <v>288</v>
      </c>
      <c r="B67" s="465"/>
      <c r="C67" s="484">
        <f>SUM(C56:C66)</f>
        <v>275405677</v>
      </c>
      <c r="D67" s="467"/>
      <c r="E67" s="468">
        <f>SUM(E56:E66)</f>
        <v>116122.12</v>
      </c>
      <c r="F67" s="467"/>
      <c r="G67" s="469">
        <f>SUM(G56:G66)</f>
        <v>1</v>
      </c>
      <c r="H67" s="470"/>
      <c r="I67" s="484">
        <f>SUM(I56:I66)</f>
        <v>292923801</v>
      </c>
      <c r="J67" s="485"/>
      <c r="K67" s="468">
        <f>SUM((M6/3)*(M67))</f>
        <v>129176.14</v>
      </c>
      <c r="L67" s="467"/>
      <c r="M67" s="508">
        <f>SUM(M56:M66)</f>
        <v>1</v>
      </c>
      <c r="N67" s="470"/>
      <c r="O67" s="484">
        <f>SUM(O56:O66)</f>
        <v>292923801</v>
      </c>
      <c r="P67" s="485"/>
      <c r="Q67" s="468">
        <f>SUM(Q56:Q66)</f>
        <v>156387.42741570668</v>
      </c>
      <c r="R67" s="467"/>
      <c r="S67" s="469">
        <f>SUM(S56:S66)</f>
        <v>1</v>
      </c>
      <c r="T67" s="465"/>
      <c r="U67" s="465"/>
      <c r="V67" s="465"/>
      <c r="W67" s="465"/>
    </row>
    <row r="68" spans="1:23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5"/>
      <c r="Q68" s="465"/>
      <c r="R68" s="465"/>
      <c r="S68" s="465"/>
      <c r="T68" s="465"/>
      <c r="U68" s="465"/>
      <c r="V68" s="465"/>
      <c r="W68" s="465"/>
    </row>
    <row r="69" spans="1:23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65"/>
      <c r="L69" s="465"/>
      <c r="M69" s="465"/>
      <c r="N69" s="465"/>
      <c r="O69" s="491"/>
      <c r="P69" s="491"/>
      <c r="Q69" s="491"/>
      <c r="R69" s="491"/>
      <c r="S69" s="491" t="s">
        <v>286</v>
      </c>
      <c r="T69" s="465"/>
      <c r="U69" s="465"/>
      <c r="V69" s="465"/>
      <c r="W69" s="465"/>
    </row>
    <row r="70" spans="1:23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5"/>
      <c r="Q70" s="465"/>
      <c r="R70" s="465"/>
      <c r="S70" s="465"/>
      <c r="T70" s="465"/>
      <c r="U70" s="465"/>
      <c r="V70" s="465"/>
      <c r="W70" s="465"/>
    </row>
    <row r="71" spans="1:23">
      <c r="A71" s="476" t="s">
        <v>290</v>
      </c>
      <c r="B71" s="476"/>
      <c r="C71" s="476"/>
      <c r="D71" s="476"/>
      <c r="E71" s="509">
        <f>SUM(E12+E44+E67)</f>
        <v>348366.36</v>
      </c>
      <c r="F71" s="476"/>
      <c r="G71" s="476"/>
      <c r="H71" s="476"/>
      <c r="I71" s="476"/>
      <c r="J71" s="476"/>
      <c r="K71" s="509">
        <f>SUM(K12+K44+K67)</f>
        <v>387528.42</v>
      </c>
      <c r="L71" s="476"/>
      <c r="M71" s="476"/>
      <c r="N71" s="476"/>
      <c r="O71" s="476"/>
      <c r="P71" s="476"/>
      <c r="Q71" s="509">
        <f>SUM(Q12+Q44+Q67)</f>
        <v>469164.50146084762</v>
      </c>
      <c r="R71" s="465"/>
      <c r="S71" s="465"/>
      <c r="T71" s="465"/>
      <c r="U71" s="465"/>
      <c r="V71" s="465"/>
      <c r="W71" s="465"/>
    </row>
    <row r="72" spans="1:23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5"/>
      <c r="Q72" s="465"/>
      <c r="R72" s="465"/>
      <c r="S72" s="465"/>
      <c r="T72" s="465"/>
      <c r="U72" s="465"/>
      <c r="V72" s="465"/>
      <c r="W72" s="465"/>
    </row>
  </sheetData>
  <pageMargins left="0.25" right="0" top="0.2" bottom="0.2" header="0.55000000000000004" footer="0.05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J30"/>
  <sheetViews>
    <sheetView workbookViewId="0">
      <selection activeCell="Q17" sqref="Q17"/>
    </sheetView>
  </sheetViews>
  <sheetFormatPr defaultRowHeight="12.75"/>
  <cols>
    <col min="1" max="1" width="2.42578125" style="174" customWidth="1"/>
    <col min="2" max="2" width="13.7109375" style="128" customWidth="1"/>
    <col min="3" max="3" width="2.140625" style="174" customWidth="1"/>
    <col min="4" max="4" width="18" style="357" customWidth="1"/>
    <col min="5" max="5" width="3.7109375" customWidth="1"/>
    <col min="6" max="6" width="11.85546875" style="367" customWidth="1"/>
    <col min="7" max="7" width="2.28515625" style="174" customWidth="1"/>
    <col min="8" max="8" width="11.85546875" customWidth="1"/>
    <col min="9" max="9" width="6.42578125" customWidth="1"/>
  </cols>
  <sheetData>
    <row r="1" spans="2:10" s="174" customFormat="1" ht="18">
      <c r="B1" s="464" t="s">
        <v>154</v>
      </c>
      <c r="C1" s="225"/>
      <c r="D1" s="358"/>
      <c r="E1" s="225"/>
      <c r="F1" s="366"/>
      <c r="G1" s="225"/>
      <c r="H1" s="225"/>
    </row>
    <row r="2" spans="2:10" s="235" customFormat="1" ht="15.75">
      <c r="B2" s="463" t="s">
        <v>298</v>
      </c>
      <c r="C2" s="225"/>
      <c r="D2" s="358"/>
      <c r="E2" s="225"/>
      <c r="F2" s="366"/>
      <c r="G2" s="225"/>
      <c r="H2" s="225"/>
    </row>
    <row r="3" spans="2:10" s="174" customFormat="1" ht="13.5" thickBot="1">
      <c r="C3" s="175"/>
      <c r="D3" s="357"/>
      <c r="F3" s="367"/>
    </row>
    <row r="4" spans="2:10" s="174" customFormat="1">
      <c r="B4" s="222" t="s">
        <v>152</v>
      </c>
      <c r="C4" s="223"/>
      <c r="D4" s="359" t="s">
        <v>153</v>
      </c>
      <c r="E4" s="224"/>
      <c r="F4" s="368"/>
      <c r="G4" s="224"/>
      <c r="H4" s="224"/>
    </row>
    <row r="5" spans="2:10" s="174" customFormat="1">
      <c r="B5" s="219"/>
      <c r="C5" s="175"/>
      <c r="D5" s="360"/>
      <c r="F5" s="369"/>
      <c r="G5" s="126"/>
      <c r="H5" s="216" t="s">
        <v>61</v>
      </c>
    </row>
    <row r="6" spans="2:10">
      <c r="B6" s="220" t="s">
        <v>137</v>
      </c>
      <c r="C6" s="127"/>
      <c r="D6" s="361">
        <v>325252</v>
      </c>
      <c r="F6" s="370"/>
      <c r="G6" s="215"/>
      <c r="H6" s="173"/>
    </row>
    <row r="7" spans="2:10">
      <c r="B7" s="220" t="s">
        <v>138</v>
      </c>
      <c r="C7" s="127"/>
      <c r="D7" s="361">
        <v>373513</v>
      </c>
      <c r="F7" s="379">
        <f>SUM(D7-D6)</f>
        <v>48261</v>
      </c>
      <c r="G7" s="380"/>
      <c r="H7" s="381">
        <f t="shared" ref="H7:H17" si="0">SUM(F7/D6)</f>
        <v>0.14838033278811505</v>
      </c>
    </row>
    <row r="8" spans="2:10">
      <c r="B8" s="220" t="s">
        <v>139</v>
      </c>
      <c r="C8" s="127"/>
      <c r="D8" s="361">
        <v>371846</v>
      </c>
      <c r="F8" s="379">
        <f t="shared" ref="F8:F18" si="1">SUM(D8-D7)</f>
        <v>-1667</v>
      </c>
      <c r="G8" s="380"/>
      <c r="H8" s="381">
        <f>SUM(F8/D7)</f>
        <v>-4.4630307378859639E-3</v>
      </c>
    </row>
    <row r="9" spans="2:10">
      <c r="B9" s="220" t="s">
        <v>140</v>
      </c>
      <c r="C9" s="127"/>
      <c r="D9" s="361">
        <v>344585</v>
      </c>
      <c r="F9" s="379">
        <f t="shared" si="1"/>
        <v>-27261</v>
      </c>
      <c r="G9" s="380"/>
      <c r="H9" s="381">
        <f t="shared" si="0"/>
        <v>-7.3312607907574642E-2</v>
      </c>
    </row>
    <row r="10" spans="2:10">
      <c r="B10" s="220" t="s">
        <v>141</v>
      </c>
      <c r="C10" s="127"/>
      <c r="D10" s="361">
        <v>355321</v>
      </c>
      <c r="F10" s="379">
        <f t="shared" si="1"/>
        <v>10736</v>
      </c>
      <c r="G10" s="380"/>
      <c r="H10" s="381">
        <f t="shared" si="0"/>
        <v>3.1156318470043676E-2</v>
      </c>
    </row>
    <row r="11" spans="2:10">
      <c r="B11" s="220" t="s">
        <v>142</v>
      </c>
      <c r="C11" s="127"/>
      <c r="D11" s="361">
        <v>353444</v>
      </c>
      <c r="F11" s="379">
        <f t="shared" si="1"/>
        <v>-1877</v>
      </c>
      <c r="G11" s="380"/>
      <c r="H11" s="381">
        <f t="shared" si="0"/>
        <v>-5.2825473304420507E-3</v>
      </c>
    </row>
    <row r="12" spans="2:10">
      <c r="B12" s="220" t="s">
        <v>143</v>
      </c>
      <c r="C12" s="127"/>
      <c r="D12" s="361">
        <v>370098</v>
      </c>
      <c r="F12" s="379">
        <f t="shared" si="1"/>
        <v>16654</v>
      </c>
      <c r="G12" s="380"/>
      <c r="H12" s="381">
        <f t="shared" si="0"/>
        <v>4.711920417378708E-2</v>
      </c>
    </row>
    <row r="13" spans="2:10">
      <c r="B13" s="220" t="s">
        <v>144</v>
      </c>
      <c r="C13" s="127"/>
      <c r="D13" s="361">
        <v>412104</v>
      </c>
      <c r="F13" s="379">
        <f t="shared" si="1"/>
        <v>42006</v>
      </c>
      <c r="G13" s="380"/>
      <c r="H13" s="381">
        <f t="shared" si="0"/>
        <v>0.11349966765559392</v>
      </c>
    </row>
    <row r="14" spans="2:10">
      <c r="B14" s="220" t="s">
        <v>145</v>
      </c>
      <c r="C14" s="127"/>
      <c r="D14" s="361">
        <v>389498</v>
      </c>
      <c r="F14" s="379">
        <f t="shared" si="1"/>
        <v>-22606</v>
      </c>
      <c r="G14" s="380"/>
      <c r="H14" s="381">
        <f t="shared" si="0"/>
        <v>-5.4855085124143423E-2</v>
      </c>
    </row>
    <row r="15" spans="2:10">
      <c r="B15" s="220" t="s">
        <v>146</v>
      </c>
      <c r="C15" s="127"/>
      <c r="D15" s="361">
        <v>336884</v>
      </c>
      <c r="F15" s="379">
        <f t="shared" si="1"/>
        <v>-52614</v>
      </c>
      <c r="G15" s="380"/>
      <c r="H15" s="381">
        <f>SUM(F15/D14)</f>
        <v>-0.13508156652922479</v>
      </c>
      <c r="J15" s="127"/>
    </row>
    <row r="16" spans="2:10">
      <c r="B16" s="220" t="s">
        <v>147</v>
      </c>
      <c r="C16" s="127"/>
      <c r="D16" s="361">
        <v>323587</v>
      </c>
      <c r="F16" s="379">
        <f t="shared" si="1"/>
        <v>-13297</v>
      </c>
      <c r="G16" s="380"/>
      <c r="H16" s="381">
        <f t="shared" si="0"/>
        <v>-3.9470559599149857E-2</v>
      </c>
      <c r="J16" s="127"/>
    </row>
    <row r="17" spans="2:8">
      <c r="B17" s="220" t="s">
        <v>148</v>
      </c>
      <c r="C17" s="127"/>
      <c r="D17" s="361">
        <v>317250</v>
      </c>
      <c r="F17" s="379">
        <f t="shared" si="1"/>
        <v>-6337</v>
      </c>
      <c r="G17" s="380"/>
      <c r="H17" s="381">
        <f t="shared" si="0"/>
        <v>-1.9583605027396034E-2</v>
      </c>
    </row>
    <row r="18" spans="2:8">
      <c r="B18" s="220" t="s">
        <v>149</v>
      </c>
      <c r="C18" s="127"/>
      <c r="D18" s="361">
        <v>323748</v>
      </c>
      <c r="F18" s="379">
        <f t="shared" si="1"/>
        <v>6498</v>
      </c>
      <c r="G18" s="380"/>
      <c r="H18" s="381">
        <f>SUM(F18/D17)</f>
        <v>2.0482269503546098E-2</v>
      </c>
    </row>
    <row r="19" spans="2:8" s="235" customFormat="1">
      <c r="B19" s="220" t="s">
        <v>150</v>
      </c>
      <c r="C19" s="127"/>
      <c r="D19" s="361">
        <v>364033</v>
      </c>
      <c r="E19"/>
      <c r="F19" s="379">
        <f>SUM(D19-D18)</f>
        <v>40285</v>
      </c>
      <c r="G19" s="380"/>
      <c r="H19" s="381">
        <f>SUM(F19/D18)</f>
        <v>0.12443320113174444</v>
      </c>
    </row>
    <row r="20" spans="2:8">
      <c r="B20" s="237" t="s">
        <v>151</v>
      </c>
      <c r="C20" s="238"/>
      <c r="D20" s="362">
        <v>374866</v>
      </c>
      <c r="E20" s="125"/>
      <c r="F20" s="382">
        <f>SUM(D20-D19)</f>
        <v>10833</v>
      </c>
      <c r="G20" s="383"/>
      <c r="H20" s="384">
        <f>SUM(F20/D19)</f>
        <v>2.9758291143934752E-2</v>
      </c>
    </row>
    <row r="21" spans="2:8" s="235" customFormat="1" ht="13.5" thickBot="1">
      <c r="B21" s="221" t="s">
        <v>197</v>
      </c>
      <c r="C21" s="217"/>
      <c r="D21" s="363">
        <v>464254</v>
      </c>
      <c r="E21" s="218"/>
      <c r="F21" s="385">
        <f>SUM(D21-D20)</f>
        <v>89388</v>
      </c>
      <c r="G21" s="386"/>
      <c r="H21" s="387">
        <f>SUM(F21/D20)</f>
        <v>0.23845320727940117</v>
      </c>
    </row>
    <row r="22" spans="2:8" s="235" customFormat="1">
      <c r="D22" s="357"/>
      <c r="E22" s="125"/>
      <c r="F22" s="371"/>
      <c r="G22" s="240"/>
      <c r="H22" s="241"/>
    </row>
    <row r="23" spans="2:8">
      <c r="B23" s="373" t="s">
        <v>239</v>
      </c>
      <c r="C23" s="374"/>
      <c r="D23" s="375">
        <f>SUM('2016-17 Proposed Budget'!S56)</f>
        <v>525662.28224712005</v>
      </c>
      <c r="E23" s="376"/>
      <c r="F23" s="377">
        <f>SUM(D23-D21)</f>
        <v>61408.282247120049</v>
      </c>
      <c r="G23" s="374"/>
      <c r="H23" s="378">
        <f>SUM(F23/D21)</f>
        <v>0.13227302779754196</v>
      </c>
    </row>
    <row r="24" spans="2:8">
      <c r="H24" s="173"/>
    </row>
    <row r="25" spans="2:8">
      <c r="B25" s="239"/>
      <c r="D25" s="364"/>
      <c r="F25" s="372"/>
    </row>
    <row r="26" spans="2:8">
      <c r="B26" s="239"/>
      <c r="D26" s="365"/>
    </row>
    <row r="28" spans="2:8">
      <c r="B28" s="239"/>
    </row>
    <row r="29" spans="2:8">
      <c r="B29" s="239"/>
    </row>
    <row r="30" spans="2:8">
      <c r="H30" s="215"/>
    </row>
  </sheetData>
  <pageMargins left="0.7" right="0.18" top="0.75" bottom="0.75" header="0.31" footer="0.3"/>
  <pageSetup orientation="landscape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2:S17"/>
  <sheetViews>
    <sheetView zoomScale="91" zoomScaleNormal="91" workbookViewId="0">
      <selection activeCell="W12" sqref="W12"/>
    </sheetView>
  </sheetViews>
  <sheetFormatPr defaultRowHeight="12.75"/>
  <cols>
    <col min="1" max="1" width="1.7109375" style="418" customWidth="1"/>
    <col min="2" max="2" width="1.42578125" style="418" customWidth="1"/>
    <col min="3" max="3" width="23.85546875" style="418" customWidth="1"/>
    <col min="4" max="4" width="1.7109375" style="418" customWidth="1"/>
    <col min="5" max="5" width="9" style="418" customWidth="1"/>
    <col min="6" max="6" width="1.7109375" style="418" customWidth="1"/>
    <col min="7" max="7" width="7.85546875" style="418" customWidth="1"/>
    <col min="8" max="8" width="1.28515625" style="418" customWidth="1"/>
    <col min="9" max="9" width="8.140625" style="418" customWidth="1"/>
    <col min="10" max="10" width="2" style="418" customWidth="1"/>
    <col min="11" max="11" width="6.28515625" style="418" customWidth="1"/>
    <col min="12" max="12" width="1.42578125" style="418" customWidth="1"/>
    <col min="13" max="13" width="12" style="418" customWidth="1"/>
    <col min="14" max="14" width="2.7109375" style="418" customWidth="1"/>
    <col min="15" max="15" width="10" style="418" customWidth="1"/>
    <col min="16" max="16" width="1.85546875" style="418" customWidth="1"/>
    <col min="17" max="17" width="15" style="418" customWidth="1"/>
    <col min="18" max="18" width="1.85546875" style="418" customWidth="1"/>
    <col min="19" max="19" width="15.5703125" style="418" customWidth="1"/>
    <col min="20" max="16384" width="9.140625" style="418"/>
  </cols>
  <sheetData>
    <row r="2" spans="2:19" ht="18.75">
      <c r="B2" s="519" t="s">
        <v>205</v>
      </c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</row>
    <row r="4" spans="2:19">
      <c r="C4" s="446"/>
      <c r="D4" s="446"/>
      <c r="E4" s="447" t="s">
        <v>200</v>
      </c>
      <c r="F4" s="446"/>
      <c r="G4" s="447" t="s">
        <v>199</v>
      </c>
      <c r="H4" s="446"/>
      <c r="I4" s="447" t="s">
        <v>135</v>
      </c>
      <c r="J4" s="446"/>
      <c r="K4" s="446"/>
      <c r="L4" s="446"/>
      <c r="M4" s="447" t="s">
        <v>132</v>
      </c>
      <c r="N4" s="447"/>
      <c r="O4" s="447" t="s">
        <v>133</v>
      </c>
      <c r="P4" s="446"/>
      <c r="Q4" s="447" t="s">
        <v>203</v>
      </c>
      <c r="R4" s="446"/>
      <c r="S4" s="447" t="s">
        <v>197</v>
      </c>
    </row>
    <row r="5" spans="2:19">
      <c r="C5" s="448" t="s">
        <v>131</v>
      </c>
      <c r="D5" s="448"/>
      <c r="E5" s="447" t="s">
        <v>198</v>
      </c>
      <c r="F5" s="448"/>
      <c r="G5" s="447" t="s">
        <v>201</v>
      </c>
      <c r="H5" s="448"/>
      <c r="I5" s="447" t="s">
        <v>136</v>
      </c>
      <c r="J5" s="448"/>
      <c r="K5" s="447" t="s">
        <v>123</v>
      </c>
      <c r="L5" s="448"/>
      <c r="M5" s="447" t="s">
        <v>124</v>
      </c>
      <c r="N5" s="447"/>
      <c r="O5" s="447" t="s">
        <v>134</v>
      </c>
      <c r="P5" s="448"/>
      <c r="Q5" s="447" t="s">
        <v>153</v>
      </c>
      <c r="R5" s="448"/>
      <c r="S5" s="447" t="s">
        <v>153</v>
      </c>
    </row>
    <row r="6" spans="2:19">
      <c r="C6" s="1"/>
      <c r="D6" s="1"/>
      <c r="E6" s="1"/>
      <c r="F6" s="1"/>
      <c r="G6" s="1"/>
      <c r="H6" s="1"/>
      <c r="P6" s="1"/>
      <c r="Q6" s="1"/>
      <c r="R6" s="1"/>
      <c r="S6" s="449"/>
    </row>
    <row r="7" spans="2:19">
      <c r="C7" s="418" t="s">
        <v>130</v>
      </c>
      <c r="E7" s="450">
        <v>3</v>
      </c>
      <c r="G7" s="451" t="s">
        <v>196</v>
      </c>
      <c r="I7" s="418">
        <f>SUM(K7+M7+O7)</f>
        <v>44</v>
      </c>
      <c r="K7" s="418">
        <v>15</v>
      </c>
      <c r="M7" s="418">
        <v>20</v>
      </c>
      <c r="O7" s="418">
        <v>9</v>
      </c>
      <c r="Q7" s="452">
        <v>767543</v>
      </c>
      <c r="S7" s="461">
        <v>819843</v>
      </c>
    </row>
    <row r="8" spans="2:19">
      <c r="C8" s="418" t="s">
        <v>121</v>
      </c>
      <c r="E8" s="450">
        <v>2</v>
      </c>
      <c r="G8" s="451" t="s">
        <v>202</v>
      </c>
      <c r="I8" s="418">
        <f>SUM(K8+M8+O8)</f>
        <v>67</v>
      </c>
      <c r="K8" s="418">
        <v>19</v>
      </c>
      <c r="M8" s="418">
        <v>19</v>
      </c>
      <c r="O8" s="418">
        <v>29</v>
      </c>
      <c r="Q8" s="452">
        <v>782152</v>
      </c>
      <c r="S8" s="461">
        <v>813730</v>
      </c>
    </row>
    <row r="9" spans="2:19">
      <c r="C9" s="418" t="s">
        <v>120</v>
      </c>
      <c r="E9" s="450">
        <v>2</v>
      </c>
      <c r="G9" s="451" t="s">
        <v>202</v>
      </c>
      <c r="I9" s="418">
        <f>SUM(K9+M9+O9)</f>
        <v>49</v>
      </c>
      <c r="K9" s="418">
        <v>14</v>
      </c>
      <c r="M9" s="418">
        <v>15</v>
      </c>
      <c r="O9" s="418">
        <v>20</v>
      </c>
      <c r="Q9" s="452">
        <v>527724</v>
      </c>
      <c r="S9" s="461">
        <v>686337</v>
      </c>
    </row>
    <row r="10" spans="2:19">
      <c r="C10" s="418" t="s">
        <v>122</v>
      </c>
      <c r="E10" s="450">
        <v>3</v>
      </c>
      <c r="G10" s="451" t="s">
        <v>196</v>
      </c>
      <c r="I10" s="418">
        <f>SUM(K10+M10+O10)</f>
        <v>63</v>
      </c>
      <c r="K10" s="418">
        <v>9</v>
      </c>
      <c r="M10" s="418">
        <v>46</v>
      </c>
      <c r="O10" s="418">
        <v>8</v>
      </c>
      <c r="Q10" s="452">
        <v>595190</v>
      </c>
      <c r="S10" s="461">
        <v>596975</v>
      </c>
    </row>
    <row r="11" spans="2:19" ht="13.5" thickBot="1">
      <c r="C11" s="418" t="s">
        <v>128</v>
      </c>
      <c r="E11" s="450">
        <v>1.5</v>
      </c>
      <c r="G11" s="451" t="s">
        <v>202</v>
      </c>
      <c r="I11" s="418">
        <f>SUM(K11+M11+O11)</f>
        <v>23</v>
      </c>
      <c r="K11" s="418">
        <v>5</v>
      </c>
      <c r="M11" s="418">
        <v>8</v>
      </c>
      <c r="O11" s="418">
        <v>10</v>
      </c>
      <c r="Q11" s="452">
        <v>456560</v>
      </c>
      <c r="S11" s="461">
        <v>526684</v>
      </c>
    </row>
    <row r="12" spans="2:19" ht="14.25" thickTop="1" thickBot="1">
      <c r="C12" s="453" t="s">
        <v>127</v>
      </c>
      <c r="D12" s="453"/>
      <c r="E12" s="454">
        <v>2.8</v>
      </c>
      <c r="F12" s="453"/>
      <c r="G12" s="455" t="s">
        <v>196</v>
      </c>
      <c r="H12" s="453"/>
      <c r="I12" s="453">
        <f t="shared" ref="I12" si="0">SUM(K12+M12+O12)</f>
        <v>65</v>
      </c>
      <c r="J12" s="453"/>
      <c r="K12" s="453">
        <v>11</v>
      </c>
      <c r="L12" s="453"/>
      <c r="M12" s="453">
        <v>30</v>
      </c>
      <c r="N12" s="453"/>
      <c r="O12" s="453">
        <v>24</v>
      </c>
      <c r="P12" s="453"/>
      <c r="Q12" s="456">
        <v>374886</v>
      </c>
      <c r="R12" s="453"/>
      <c r="S12" s="462">
        <v>464254</v>
      </c>
    </row>
    <row r="13" spans="2:19" ht="13.5" thickTop="1">
      <c r="C13" s="418" t="s">
        <v>126</v>
      </c>
      <c r="E13" s="450">
        <v>1.75</v>
      </c>
      <c r="G13" s="451" t="s">
        <v>196</v>
      </c>
      <c r="I13" s="418">
        <f>SUM(K13+M13+O13)</f>
        <v>65</v>
      </c>
      <c r="K13" s="418">
        <v>9</v>
      </c>
      <c r="M13" s="418">
        <v>23</v>
      </c>
      <c r="O13" s="418">
        <v>33</v>
      </c>
      <c r="Q13" s="452">
        <v>475554</v>
      </c>
      <c r="S13" s="461">
        <v>421406</v>
      </c>
    </row>
    <row r="14" spans="2:19">
      <c r="C14" s="418" t="s">
        <v>125</v>
      </c>
      <c r="E14" s="450">
        <v>2</v>
      </c>
      <c r="G14" s="451" t="s">
        <v>202</v>
      </c>
      <c r="I14" s="418">
        <f>SUM(K14+M14+O14)</f>
        <v>51</v>
      </c>
      <c r="K14" s="418">
        <v>7</v>
      </c>
      <c r="M14" s="418">
        <v>17</v>
      </c>
      <c r="O14" s="418">
        <v>27</v>
      </c>
      <c r="Q14" s="452">
        <v>469402</v>
      </c>
      <c r="S14" s="461">
        <v>394235</v>
      </c>
    </row>
    <row r="15" spans="2:19" ht="8.25" customHeight="1" thickBot="1">
      <c r="S15" s="1"/>
    </row>
    <row r="16" spans="2:19" ht="14.25" thickTop="1" thickBot="1">
      <c r="C16" s="457" t="s">
        <v>204</v>
      </c>
      <c r="D16" s="457"/>
      <c r="E16" s="458">
        <f>SUM((E9+E8+E11+E13+E7+E10+E14)/(7))</f>
        <v>2.1785714285714284</v>
      </c>
      <c r="F16" s="457"/>
      <c r="G16" s="457"/>
      <c r="H16" s="457"/>
      <c r="I16" s="458">
        <f>SUM((I9+I8+I11+I13+I7+I10+I14)/(7))</f>
        <v>51.714285714285715</v>
      </c>
      <c r="J16" s="458"/>
      <c r="K16" s="459">
        <f>SUM((K9+K8+K11+K13+K7+K10+K14)/(7))</f>
        <v>11.142857142857142</v>
      </c>
      <c r="L16" s="458"/>
      <c r="M16" s="459">
        <f>SUM((M9+M8+M11+M13+M7+M10+M14)/(7))</f>
        <v>21.142857142857142</v>
      </c>
      <c r="N16" s="457"/>
      <c r="O16" s="459">
        <f>SUM((O9+O8+O11+O13+O7+O10+O14)/(7))</f>
        <v>19.428571428571427</v>
      </c>
      <c r="P16" s="457"/>
      <c r="Q16" s="460">
        <f>SUM((Q9+Q8+Q11+Q13+Q7+Q10+Q14)/(7))</f>
        <v>582017.85714285716</v>
      </c>
      <c r="R16" s="457"/>
      <c r="S16" s="460">
        <f>SUM((S9+S8+S11+S13+S7+S10+S14)/(7))</f>
        <v>608458.57142857148</v>
      </c>
    </row>
    <row r="17" ht="13.5" thickTop="1"/>
  </sheetData>
  <pageMargins left="0.7" right="0.4" top="0.75" bottom="0.75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2016-17 Proposed Budget</vt:lpstr>
      <vt:lpstr>Sheet1</vt:lpstr>
      <vt:lpstr>16-17 Salaries Benefits</vt:lpstr>
      <vt:lpstr>16-17 Adminstrative Costs</vt:lpstr>
      <vt:lpstr>16-17 Services Supplies</vt:lpstr>
      <vt:lpstr>Allocations</vt:lpstr>
      <vt:lpstr>Past Marin LAFCO Budgets</vt:lpstr>
      <vt:lpstr>BayAreaLAFCO-Comparison</vt:lpstr>
    </vt:vector>
  </TitlesOfParts>
  <Company>Napa County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dschwar3</dc:creator>
  <cp:lastModifiedBy>Keene Simonds</cp:lastModifiedBy>
  <cp:lastPrinted>2016-06-01T16:36:05Z</cp:lastPrinted>
  <dcterms:created xsi:type="dcterms:W3CDTF">2003-01-30T17:16:15Z</dcterms:created>
  <dcterms:modified xsi:type="dcterms:W3CDTF">2016-06-03T15:28:22Z</dcterms:modified>
</cp:coreProperties>
</file>